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my.maerskgroup.com/personal/murugan_maruthachalam_maersk_com/Documents/Desktop/Road Freight Estimate Generator Tool/"/>
    </mc:Choice>
  </mc:AlternateContent>
  <xr:revisionPtr revIDLastSave="842" documentId="8_{18DEC400-4CE0-443D-85B8-967C7B476209}" xr6:coauthVersionLast="47" xr6:coauthVersionMax="47" xr10:uidLastSave="{7836D4E5-8DED-4AAB-A29B-7CF116F9C8C3}"/>
  <bookViews>
    <workbookView xWindow="-110" yWindow="-110" windowWidth="19420" windowHeight="10300" activeTab="1" xr2:uid="{983053EC-27BB-4745-9AED-7184D7A54CE9}"/>
  </bookViews>
  <sheets>
    <sheet name="User Manual" sheetId="3" r:id="rId1"/>
    <sheet name="Get The Estimated Freight" sheetId="1" r:id="rId2"/>
    <sheet name="TAT Workings" sheetId="2" r:id="rId3"/>
  </sheets>
  <definedNames>
    <definedName name="_xlnm._FilterDatabase" localSheetId="0" hidden="1">'User Manual'!$A$1:$A$23</definedName>
    <definedName name="_xlnm.Print_Area" localSheetId="1">'Get The Estimated Freight'!$B$2:$H$10</definedName>
    <definedName name="_xlnm.Print_Area" localSheetId="2">'TAT Workings'!$B$2:$F$25</definedName>
    <definedName name="_xlnm.Print_Area" localSheetId="0">'User Manual'!$A$1:$A$23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4" i="2" l="1"/>
  <c r="D11" i="2"/>
  <c r="D25" i="2" s="1"/>
  <c r="E18" i="2" s="1"/>
  <c r="C26" i="2"/>
  <c r="D22" i="2"/>
  <c r="C25" i="2"/>
  <c r="D24" i="2"/>
  <c r="F3" i="2"/>
  <c r="F7" i="2" s="1"/>
  <c r="D13" i="2"/>
  <c r="D12" i="2"/>
  <c r="D21" i="2"/>
  <c r="D23" i="2"/>
  <c r="D20" i="2"/>
  <c r="D19" i="2"/>
  <c r="D18" i="2"/>
  <c r="D17" i="2"/>
  <c r="D16" i="2"/>
  <c r="D15" i="2"/>
  <c r="D14" i="2"/>
  <c r="C33" i="1"/>
  <c r="B33" i="1"/>
  <c r="G50" i="1"/>
  <c r="E14" i="2" l="1"/>
  <c r="E21" i="2"/>
  <c r="E15" i="2"/>
  <c r="E16" i="2"/>
  <c r="E13" i="2"/>
  <c r="E19" i="2"/>
  <c r="E22" i="2"/>
  <c r="E23" i="2"/>
  <c r="E12" i="2"/>
  <c r="E11" i="2"/>
  <c r="E24" i="2"/>
  <c r="E20" i="2"/>
  <c r="E17" i="2"/>
  <c r="F8" i="2"/>
  <c r="E25" i="2" l="1"/>
  <c r="F22" i="2"/>
  <c r="F14" i="2"/>
  <c r="F15" i="2"/>
  <c r="F21" i="2"/>
  <c r="F13" i="2"/>
  <c r="F24" i="2"/>
  <c r="F16" i="2"/>
  <c r="F23" i="2"/>
  <c r="F20" i="2"/>
  <c r="F12" i="2"/>
  <c r="F19" i="2"/>
  <c r="F11" i="2"/>
  <c r="F18" i="2"/>
  <c r="F17" i="2"/>
  <c r="C53" i="1"/>
  <c r="C54" i="1" s="1"/>
  <c r="K46" i="1"/>
  <c r="K45" i="1"/>
  <c r="K44" i="1"/>
  <c r="K43" i="1"/>
  <c r="K42" i="1"/>
  <c r="K41" i="1"/>
  <c r="K40" i="1"/>
  <c r="K39" i="1"/>
  <c r="K38" i="1"/>
  <c r="K37" i="1"/>
  <c r="J38" i="1"/>
  <c r="L38" i="1" s="1"/>
  <c r="J39" i="1"/>
  <c r="L39" i="1" s="1"/>
  <c r="J40" i="1"/>
  <c r="L40" i="1" s="1"/>
  <c r="J41" i="1"/>
  <c r="L41" i="1" s="1"/>
  <c r="J42" i="1"/>
  <c r="L42" i="1" s="1"/>
  <c r="J43" i="1"/>
  <c r="L43" i="1" s="1"/>
  <c r="J44" i="1"/>
  <c r="L44" i="1" s="1"/>
  <c r="J45" i="1"/>
  <c r="L45" i="1" s="1"/>
  <c r="J46" i="1"/>
  <c r="L46" i="1" s="1"/>
  <c r="J37" i="1"/>
  <c r="L37" i="1" s="1"/>
  <c r="AJ17" i="1"/>
  <c r="AJ18" i="1" s="1"/>
  <c r="AJ19" i="1" s="1"/>
  <c r="AJ20" i="1" s="1"/>
  <c r="AJ21" i="1" s="1"/>
  <c r="AJ22" i="1" s="1"/>
  <c r="AJ23" i="1" s="1"/>
  <c r="AJ24" i="1" s="1"/>
  <c r="AJ25" i="1" s="1"/>
  <c r="AJ26" i="1" s="1"/>
  <c r="AJ27" i="1" s="1"/>
  <c r="AJ28" i="1" s="1"/>
  <c r="AJ29" i="1" s="1"/>
  <c r="AJ30" i="1" s="1"/>
  <c r="AJ31" i="1" s="1"/>
  <c r="AJ32" i="1" s="1"/>
  <c r="AJ33" i="1" s="1"/>
  <c r="AJ34" i="1" s="1"/>
  <c r="AJ35" i="1" s="1"/>
  <c r="AJ36" i="1" s="1"/>
  <c r="AJ37" i="1" s="1"/>
  <c r="AJ38" i="1" s="1"/>
  <c r="AJ39" i="1" s="1"/>
  <c r="AJ40" i="1" s="1"/>
  <c r="AJ41" i="1" s="1"/>
  <c r="AJ42" i="1" s="1"/>
  <c r="AJ43" i="1" s="1"/>
  <c r="AJ44" i="1" s="1"/>
  <c r="AJ45" i="1" s="1"/>
  <c r="AJ46" i="1" s="1"/>
  <c r="AJ47" i="1" s="1"/>
  <c r="AJ48" i="1" s="1"/>
  <c r="AJ49" i="1" s="1"/>
  <c r="AJ50" i="1" s="1"/>
  <c r="AJ51" i="1" s="1"/>
  <c r="AJ52" i="1" s="1"/>
  <c r="AJ53" i="1" s="1"/>
  <c r="AJ54" i="1" s="1"/>
  <c r="AJ55" i="1" s="1"/>
  <c r="AJ56" i="1" s="1"/>
  <c r="AJ57" i="1" s="1"/>
  <c r="AJ58" i="1" s="1"/>
  <c r="AJ59" i="1" s="1"/>
  <c r="AJ60" i="1" s="1"/>
  <c r="AJ61" i="1" s="1"/>
  <c r="AJ62" i="1" s="1"/>
  <c r="AJ63" i="1" s="1"/>
  <c r="AJ64" i="1" s="1"/>
  <c r="AJ65" i="1" s="1"/>
  <c r="AJ66" i="1" s="1"/>
  <c r="AJ67" i="1" s="1"/>
  <c r="AJ68" i="1" s="1"/>
  <c r="AJ69" i="1" s="1"/>
  <c r="AJ70" i="1" s="1"/>
  <c r="AJ71" i="1" s="1"/>
  <c r="AJ72" i="1" s="1"/>
  <c r="AJ73" i="1" s="1"/>
  <c r="H10" i="1"/>
  <c r="E5" i="1"/>
  <c r="D28" i="1" s="1"/>
  <c r="I39" i="1"/>
  <c r="I40" i="1" s="1"/>
  <c r="I41" i="1" s="1"/>
  <c r="I42" i="1" s="1"/>
  <c r="I43" i="1" s="1"/>
  <c r="I44" i="1" s="1"/>
  <c r="I45" i="1" s="1"/>
  <c r="I46" i="1" s="1"/>
  <c r="C17" i="1"/>
  <c r="E17" i="1" s="1"/>
  <c r="H42" i="1"/>
  <c r="H43" i="1" s="1"/>
  <c r="H44" i="1" s="1"/>
  <c r="H45" i="1" s="1"/>
  <c r="H46" i="1" s="1"/>
  <c r="H40" i="1"/>
  <c r="H39" i="1" s="1"/>
  <c r="H38" i="1" s="1"/>
  <c r="H37" i="1" s="1"/>
  <c r="E28" i="1"/>
  <c r="E21" i="1"/>
  <c r="E15" i="1"/>
  <c r="F25" i="2" l="1"/>
  <c r="C27" i="1"/>
  <c r="E27" i="1" s="1"/>
  <c r="N37" i="1"/>
  <c r="N38" i="1" s="1"/>
  <c r="D15" i="1"/>
  <c r="D21" i="1"/>
  <c r="C19" i="1"/>
  <c r="E19" i="1" s="1"/>
  <c r="D17" i="1"/>
  <c r="F17" i="1" s="1"/>
  <c r="F28" i="1"/>
  <c r="D3" i="2" l="1"/>
  <c r="D27" i="1"/>
  <c r="F27" i="1" s="1"/>
  <c r="H27" i="1" s="1"/>
  <c r="C55" i="1"/>
  <c r="C25" i="1" s="1"/>
  <c r="E25" i="1" s="1"/>
  <c r="D19" i="1"/>
  <c r="F19" i="1" s="1"/>
  <c r="H19" i="1" s="1"/>
  <c r="G28" i="1"/>
  <c r="I28" i="1" s="1"/>
  <c r="H28" i="1"/>
  <c r="G17" i="1"/>
  <c r="I17" i="1" s="1"/>
  <c r="H17" i="1"/>
  <c r="D25" i="1" l="1"/>
  <c r="F25" i="1" s="1"/>
  <c r="G27" i="1"/>
  <c r="I27" i="1" s="1"/>
  <c r="G19" i="1"/>
  <c r="I19" i="1" s="1"/>
  <c r="F21" i="1" l="1"/>
  <c r="F15" i="1"/>
  <c r="C20" i="1"/>
  <c r="G21" i="1" l="1"/>
  <c r="I21" i="1" s="1"/>
  <c r="H21" i="1"/>
  <c r="G15" i="1"/>
  <c r="I15" i="1" s="1"/>
  <c r="H15" i="1"/>
  <c r="D16" i="1"/>
  <c r="E16" i="1"/>
  <c r="D20" i="1"/>
  <c r="E20" i="1"/>
  <c r="F20" i="1" l="1"/>
  <c r="G20" i="1" s="1"/>
  <c r="I20" i="1" s="1"/>
  <c r="F16" i="1"/>
  <c r="H20" i="1" l="1"/>
  <c r="G16" i="1"/>
  <c r="I16" i="1" s="1"/>
  <c r="H16" i="1"/>
  <c r="C26" i="1" l="1"/>
  <c r="E26" i="1" l="1"/>
  <c r="D26" i="1"/>
  <c r="C29" i="1"/>
  <c r="F26" i="1" l="1"/>
  <c r="G26" i="1" s="1"/>
  <c r="I26" i="1" s="1"/>
  <c r="E29" i="1"/>
  <c r="D29" i="1"/>
  <c r="H26" i="1" l="1"/>
  <c r="H25" i="1"/>
  <c r="G25" i="1"/>
  <c r="I25" i="1" s="1"/>
  <c r="F29" i="1"/>
  <c r="H29" i="1" s="1"/>
  <c r="F28" i="2" s="1"/>
  <c r="G29" i="1" l="1"/>
  <c r="D37" i="1"/>
  <c r="F37" i="1" s="1"/>
  <c r="C37" i="1" l="1"/>
  <c r="C38" i="1" s="1"/>
  <c r="C39" i="1" s="1"/>
  <c r="C40" i="1" s="1"/>
  <c r="C41" i="1" s="1"/>
  <c r="C42" i="1" s="1"/>
  <c r="C43" i="1" s="1"/>
  <c r="C44" i="1" s="1"/>
  <c r="C45" i="1" s="1"/>
  <c r="C46" i="1" s="1"/>
  <c r="D38" i="1" l="1"/>
  <c r="D39" i="1" s="1"/>
  <c r="F38" i="1" l="1"/>
  <c r="D40" i="1"/>
  <c r="F39" i="1"/>
  <c r="D41" i="1" l="1"/>
  <c r="F40" i="1"/>
  <c r="F41" i="1" l="1"/>
  <c r="D42" i="1"/>
  <c r="D43" i="1" l="1"/>
  <c r="F42" i="1"/>
  <c r="D44" i="1" l="1"/>
  <c r="F43" i="1"/>
  <c r="D45" i="1" l="1"/>
  <c r="F44" i="1"/>
  <c r="F45" i="1" l="1"/>
  <c r="D46" i="1"/>
  <c r="F46" i="1" l="1"/>
  <c r="C18" i="1" s="1"/>
  <c r="D4" i="1"/>
  <c r="D33" i="1" s="1"/>
  <c r="F33" i="1" s="1"/>
  <c r="E33" i="1" l="1"/>
  <c r="J33" i="1" s="1"/>
  <c r="K33" i="1" s="1"/>
  <c r="C14" i="1" s="1"/>
  <c r="F14" i="1" s="1"/>
  <c r="G33" i="1"/>
  <c r="H33" i="1" s="1"/>
  <c r="I33" i="1" s="1"/>
  <c r="E18" i="1"/>
  <c r="E22" i="1" s="1"/>
  <c r="D18" i="1"/>
  <c r="D22" i="1" s="1"/>
  <c r="F18" i="1" l="1"/>
  <c r="H18" i="1" s="1"/>
  <c r="L33" i="1"/>
  <c r="C13" i="1"/>
  <c r="H14" i="1"/>
  <c r="G14" i="1"/>
  <c r="I14" i="1" s="1"/>
  <c r="G18" i="1" l="1"/>
  <c r="I18" i="1" s="1"/>
  <c r="C22" i="1"/>
  <c r="F13" i="1"/>
  <c r="H13" i="1" l="1"/>
  <c r="F22" i="1"/>
  <c r="H22" i="1" s="1"/>
  <c r="F26" i="2" s="1"/>
  <c r="F27" i="2" s="1"/>
  <c r="C3" i="2" s="1"/>
  <c r="G13" i="1"/>
  <c r="G22" i="1" l="1"/>
  <c r="I13" i="1"/>
  <c r="I22" i="1" s="1"/>
  <c r="I29" i="1" s="1"/>
  <c r="I30" i="1" s="1"/>
  <c r="AK63" i="1"/>
  <c r="AL63" i="1" s="1"/>
  <c r="AM63" i="1" s="1"/>
  <c r="AK19" i="1"/>
  <c r="AL19" i="1" s="1"/>
  <c r="AM19" i="1" s="1"/>
  <c r="AK17" i="1"/>
  <c r="AL17" i="1" s="1"/>
  <c r="AM17" i="1" s="1"/>
  <c r="AK61" i="1"/>
  <c r="AL61" i="1" s="1"/>
  <c r="AM61" i="1" s="1"/>
  <c r="AK15" i="1"/>
  <c r="AL15" i="1" s="1"/>
  <c r="AK35" i="1"/>
  <c r="AL35" i="1" s="1"/>
  <c r="AM35" i="1" s="1"/>
  <c r="AK33" i="1"/>
  <c r="AL33" i="1" s="1"/>
  <c r="AM33" i="1" s="1"/>
  <c r="AK32" i="1"/>
  <c r="AL32" i="1" s="1"/>
  <c r="AM32" i="1" s="1"/>
  <c r="AK37" i="1"/>
  <c r="AL37" i="1" s="1"/>
  <c r="AM37" i="1" s="1"/>
  <c r="AK67" i="1"/>
  <c r="AL67" i="1" s="1"/>
  <c r="AM67" i="1" s="1"/>
  <c r="AK26" i="1"/>
  <c r="AL26" i="1" s="1"/>
  <c r="AM26" i="1" s="1"/>
  <c r="AK58" i="1"/>
  <c r="AL58" i="1" s="1"/>
  <c r="AM58" i="1" s="1"/>
  <c r="AK57" i="1"/>
  <c r="AL57" i="1" s="1"/>
  <c r="AM57" i="1" s="1"/>
  <c r="H3" i="1"/>
  <c r="C4" i="2" s="1"/>
  <c r="AK60" i="1"/>
  <c r="AL60" i="1" s="1"/>
  <c r="AM60" i="1" s="1"/>
  <c r="AK48" i="1"/>
  <c r="AL48" i="1" s="1"/>
  <c r="AM48" i="1" s="1"/>
  <c r="AK25" i="1"/>
  <c r="AL25" i="1" s="1"/>
  <c r="AM25" i="1" s="1"/>
  <c r="AK41" i="1"/>
  <c r="AL41" i="1" s="1"/>
  <c r="AM41" i="1" s="1"/>
  <c r="AK55" i="1"/>
  <c r="AL55" i="1" s="1"/>
  <c r="AM55" i="1" s="1"/>
  <c r="AK70" i="1"/>
  <c r="AL70" i="1" s="1"/>
  <c r="AM70" i="1" s="1"/>
  <c r="AK68" i="1"/>
  <c r="AL68" i="1" s="1"/>
  <c r="AM68" i="1" s="1"/>
  <c r="AK53" i="1"/>
  <c r="AL53" i="1" s="1"/>
  <c r="AM53" i="1" s="1"/>
  <c r="AK66" i="1"/>
  <c r="AL66" i="1" s="1"/>
  <c r="AM66" i="1" s="1"/>
  <c r="AK22" i="1"/>
  <c r="AL22" i="1" s="1"/>
  <c r="AM22" i="1" s="1"/>
  <c r="AK28" i="1"/>
  <c r="AL28" i="1" s="1"/>
  <c r="AM28" i="1" s="1"/>
  <c r="AK27" i="1"/>
  <c r="AL27" i="1" s="1"/>
  <c r="AM27" i="1" s="1"/>
  <c r="AK47" i="1"/>
  <c r="AL47" i="1" s="1"/>
  <c r="AM47" i="1" s="1"/>
  <c r="AK62" i="1"/>
  <c r="AL62" i="1" s="1"/>
  <c r="AM62" i="1" s="1"/>
  <c r="AK45" i="1"/>
  <c r="AL45" i="1" s="1"/>
  <c r="AM45" i="1" s="1"/>
  <c r="AK42" i="1"/>
  <c r="AL42" i="1" s="1"/>
  <c r="AM42" i="1" s="1"/>
  <c r="AK34" i="1"/>
  <c r="AL34" i="1" s="1"/>
  <c r="AM34" i="1" s="1"/>
  <c r="AK20" i="1"/>
  <c r="AL20" i="1" s="1"/>
  <c r="AM20" i="1" s="1"/>
  <c r="AK39" i="1"/>
  <c r="AL39" i="1" s="1"/>
  <c r="AM39" i="1" s="1"/>
  <c r="AK54" i="1"/>
  <c r="AL54" i="1" s="1"/>
  <c r="AM54" i="1" s="1"/>
  <c r="AK36" i="1"/>
  <c r="AL36" i="1" s="1"/>
  <c r="AM36" i="1" s="1"/>
  <c r="AK73" i="1"/>
  <c r="AL73" i="1" s="1"/>
  <c r="AM73" i="1" s="1"/>
  <c r="AK31" i="1"/>
  <c r="AL31" i="1" s="1"/>
  <c r="AM31" i="1" s="1"/>
  <c r="AK24" i="1"/>
  <c r="AL24" i="1" s="1"/>
  <c r="AM24" i="1" s="1"/>
  <c r="AK64" i="1"/>
  <c r="AL64" i="1" s="1"/>
  <c r="AM64" i="1" s="1"/>
  <c r="AK38" i="1"/>
  <c r="AL38" i="1" s="1"/>
  <c r="AM38" i="1" s="1"/>
  <c r="AK16" i="1"/>
  <c r="AL16" i="1" s="1"/>
  <c r="AM16" i="1" s="1"/>
  <c r="AK56" i="1"/>
  <c r="AL56" i="1" s="1"/>
  <c r="AM56" i="1" s="1"/>
  <c r="AK30" i="1"/>
  <c r="AL30" i="1" s="1"/>
  <c r="AM30" i="1" s="1"/>
  <c r="AK51" i="1"/>
  <c r="AL51" i="1" s="1"/>
  <c r="AM51" i="1" s="1"/>
  <c r="AK71" i="1"/>
  <c r="AL71" i="1" s="1"/>
  <c r="AM71" i="1" s="1"/>
  <c r="AK44" i="1"/>
  <c r="AL44" i="1" s="1"/>
  <c r="AM44" i="1" s="1"/>
  <c r="AK52" i="1"/>
  <c r="AL52" i="1" s="1"/>
  <c r="AM52" i="1" s="1"/>
  <c r="AK21" i="1"/>
  <c r="AL21" i="1" s="1"/>
  <c r="AM21" i="1" s="1"/>
  <c r="AK72" i="1"/>
  <c r="AL72" i="1" s="1"/>
  <c r="AM72" i="1" s="1"/>
  <c r="AK46" i="1"/>
  <c r="AL46" i="1" s="1"/>
  <c r="AM46" i="1" s="1"/>
  <c r="AK23" i="1"/>
  <c r="AL23" i="1" s="1"/>
  <c r="AM23" i="1" s="1"/>
  <c r="AK65" i="1"/>
  <c r="AL65" i="1" s="1"/>
  <c r="AM65" i="1" s="1"/>
  <c r="AK59" i="1"/>
  <c r="AL59" i="1" s="1"/>
  <c r="AM59" i="1" s="1"/>
  <c r="AK18" i="1"/>
  <c r="AL18" i="1" s="1"/>
  <c r="AM18" i="1" s="1"/>
  <c r="AK29" i="1"/>
  <c r="AL29" i="1" s="1"/>
  <c r="AM29" i="1" s="1"/>
  <c r="AK49" i="1"/>
  <c r="AL49" i="1" s="1"/>
  <c r="AM49" i="1" s="1"/>
  <c r="AK50" i="1"/>
  <c r="AL50" i="1" s="1"/>
  <c r="AM50" i="1" s="1"/>
  <c r="AK69" i="1"/>
  <c r="AL69" i="1" s="1"/>
  <c r="AM69" i="1" s="1"/>
  <c r="AK43" i="1"/>
  <c r="AL43" i="1" s="1"/>
  <c r="AM43" i="1" s="1"/>
  <c r="AK40" i="1"/>
  <c r="AL40" i="1" s="1"/>
  <c r="AM40" i="1" s="1"/>
  <c r="H7" i="1" l="1"/>
  <c r="AN10" i="1"/>
  <c r="AO10" i="1" s="1"/>
  <c r="H4" i="1"/>
  <c r="AN6" i="1"/>
  <c r="AO6" i="1" s="1"/>
  <c r="AN7" i="1"/>
  <c r="AO7" i="1" s="1"/>
  <c r="AN11" i="1"/>
  <c r="AO11" i="1" s="1"/>
  <c r="AN5" i="1"/>
  <c r="AO5" i="1" s="1"/>
  <c r="H9" i="1"/>
  <c r="AN9" i="1"/>
  <c r="AO9" i="1" s="1"/>
  <c r="AN8" i="1"/>
  <c r="AO8" i="1" s="1"/>
  <c r="AN4" i="1"/>
  <c r="AO4" i="1" s="1"/>
  <c r="H8" i="1" l="1"/>
  <c r="H6" i="1" s="1"/>
</calcChain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3">
    <bk>
      <extLst>
        <ext uri="{3e2802c4-a4d2-4d8b-9148-e3be6c30e623}">
          <xlrd:rvb i="0"/>
        </ext>
      </extLst>
    </bk>
    <bk>
      <extLst>
        <ext uri="{3e2802c4-a4d2-4d8b-9148-e3be6c30e623}">
          <xlrd:rvb i="1"/>
        </ext>
      </extLst>
    </bk>
    <bk>
      <extLst>
        <ext uri="{3e2802c4-a4d2-4d8b-9148-e3be6c30e623}">
          <xlrd:rvb i="2"/>
        </ext>
      </extLst>
    </bk>
  </futureMetadata>
  <valueMetadata count="3">
    <bk>
      <rc t="1" v="0"/>
    </bk>
    <bk>
      <rc t="1" v="1"/>
    </bk>
    <bk>
      <rc t="1" v="2"/>
    </bk>
  </valueMetadata>
</metadata>
</file>

<file path=xl/sharedStrings.xml><?xml version="1.0" encoding="utf-8"?>
<sst xmlns="http://schemas.openxmlformats.org/spreadsheetml/2006/main" count="157" uniqueCount="136">
  <si>
    <t xml:space="preserve">EMI </t>
  </si>
  <si>
    <t>Interst on Down payment</t>
  </si>
  <si>
    <t>GPS</t>
  </si>
  <si>
    <t>Diesel</t>
  </si>
  <si>
    <t>Toll</t>
  </si>
  <si>
    <t>R &amp; M</t>
  </si>
  <si>
    <t>Tyre</t>
  </si>
  <si>
    <t>Loan Amt</t>
  </si>
  <si>
    <t xml:space="preserve">EMI Inter for 60 </t>
  </si>
  <si>
    <t>Total Amt</t>
  </si>
  <si>
    <t>Cost of the vehicles</t>
  </si>
  <si>
    <t>Admin</t>
  </si>
  <si>
    <t xml:space="preserve">Trailer </t>
  </si>
  <si>
    <t>Total Coat</t>
  </si>
  <si>
    <t xml:space="preserve">Insurance </t>
  </si>
  <si>
    <t>Down payment ( which covers initial Exp Reg + AIP Permit )</t>
  </si>
  <si>
    <t>Net amount</t>
  </si>
  <si>
    <t>Month</t>
  </si>
  <si>
    <t>Intrest on Capital</t>
  </si>
  <si>
    <t>KMPL</t>
  </si>
  <si>
    <t>Cost of the Vehicle After Depr</t>
  </si>
  <si>
    <t>Depri</t>
  </si>
  <si>
    <t>R  &amp; M</t>
  </si>
  <si>
    <t>Intrest on Down payment</t>
  </si>
  <si>
    <t>Per Km Charge</t>
  </si>
  <si>
    <t>Fixed Cost / Day</t>
  </si>
  <si>
    <t xml:space="preserve">Age </t>
  </si>
  <si>
    <t>Dep %</t>
  </si>
  <si>
    <t>Driver + Helper Salary</t>
  </si>
  <si>
    <t>Road Tax</t>
  </si>
  <si>
    <t>All india Permit</t>
  </si>
  <si>
    <t>Variable Cost</t>
  </si>
  <si>
    <t>Fixed Cost</t>
  </si>
  <si>
    <t>Total Varibale cost</t>
  </si>
  <si>
    <t>Diesel Cost Per Ltr.</t>
  </si>
  <si>
    <t>Intrest on Capital amount</t>
  </si>
  <si>
    <t>FC Cost</t>
  </si>
  <si>
    <t>Credit Period</t>
  </si>
  <si>
    <t>7 Days</t>
  </si>
  <si>
    <t>45 Days</t>
  </si>
  <si>
    <t>30 Days</t>
  </si>
  <si>
    <t>15 Days</t>
  </si>
  <si>
    <t>60 Days</t>
  </si>
  <si>
    <t>Inrest on capital</t>
  </si>
  <si>
    <t>90 Days</t>
  </si>
  <si>
    <t>Immediate Payment</t>
  </si>
  <si>
    <t>--- Select---</t>
  </si>
  <si>
    <t>Fitness cost</t>
  </si>
  <si>
    <t xml:space="preserve">Vehicle Type </t>
  </si>
  <si>
    <t>Ashok Leyland 4620-4x2</t>
  </si>
  <si>
    <t>28 ton</t>
  </si>
  <si>
    <t>Ashok Leyland 4020-4x2</t>
  </si>
  <si>
    <t>20 ton</t>
  </si>
  <si>
    <t>40 ft Triple Axel - 28 ton</t>
  </si>
  <si>
    <t>40 ft Double Axel - 20 ton</t>
  </si>
  <si>
    <t>20 ft Double Axel - 20 ton</t>
  </si>
  <si>
    <t>Vehicle Type</t>
  </si>
  <si>
    <t>Make</t>
  </si>
  <si>
    <t>Cost</t>
  </si>
  <si>
    <t>trailer cost</t>
  </si>
  <si>
    <t>Payload</t>
  </si>
  <si>
    <t>Partner Profit Margin</t>
  </si>
  <si>
    <t xml:space="preserve">Additional Cost added due to Payment Terms </t>
  </si>
  <si>
    <t>Additional Fixed cost due to TAT</t>
  </si>
  <si>
    <t>Round Trip KM</t>
  </si>
  <si>
    <t xml:space="preserve">Oneway Trip </t>
  </si>
  <si>
    <t xml:space="preserve">Round Trip </t>
  </si>
  <si>
    <t>Trip Type</t>
  </si>
  <si>
    <t>Oneway Trip</t>
  </si>
  <si>
    <t>Round Trip</t>
  </si>
  <si>
    <t>No of Trip Per Month</t>
  </si>
  <si>
    <t>Profit Margin</t>
  </si>
  <si>
    <t xml:space="preserve">Per Trip Rates </t>
  </si>
  <si>
    <t xml:space="preserve">Per Trip base Rates </t>
  </si>
  <si>
    <t>Trip</t>
  </si>
  <si>
    <t>20 ft Triple Axel - 28 ton</t>
  </si>
  <si>
    <t>Partner profit on Investment</t>
  </si>
  <si>
    <t xml:space="preserve">Booking received time </t>
  </si>
  <si>
    <t xml:space="preserve">Truck Placement time </t>
  </si>
  <si>
    <t xml:space="preserve">Customer factory report time </t>
  </si>
  <si>
    <t xml:space="preserve">Customer factory leaving time </t>
  </si>
  <si>
    <t xml:space="preserve">Loading | unloading start time </t>
  </si>
  <si>
    <t xml:space="preserve">Loading | unloading end time </t>
  </si>
  <si>
    <t>Activity</t>
  </si>
  <si>
    <t xml:space="preserve">Duration </t>
  </si>
  <si>
    <t xml:space="preserve">Time Consmubtion </t>
  </si>
  <si>
    <t xml:space="preserve">Total Hours </t>
  </si>
  <si>
    <t>Time Consmubtion in Hours</t>
  </si>
  <si>
    <t>Other activity ( Reciving Doc.. Empty Cont. Form -13)</t>
  </si>
  <si>
    <t>Estimated TAT based on the Distance ( Ave..Travel Time 35 KM per hour )</t>
  </si>
  <si>
    <t>Loading | unloading time (incl..waiting time )</t>
  </si>
  <si>
    <t>Freight Amt.</t>
  </si>
  <si>
    <t>Hours / Days</t>
  </si>
  <si>
    <t xml:space="preserve"> TAT</t>
  </si>
  <si>
    <t xml:space="preserve">Estimated in Hours </t>
  </si>
  <si>
    <t>Estimated in Days</t>
  </si>
  <si>
    <t xml:space="preserve">Average Idle Time for Next Load </t>
  </si>
  <si>
    <t xml:space="preserve">% </t>
  </si>
  <si>
    <t>*Age of the vehcle</t>
  </si>
  <si>
    <t>*Round | Oneway Trip KM</t>
  </si>
  <si>
    <t>*Round | One-way Trip Estimated TAT in Days</t>
  </si>
  <si>
    <t>Road Freight Estimate Generator Tool - User Manual</t>
  </si>
  <si>
    <t>1. Diesel Cost Input:</t>
  </si>
  <si>
    <t>Enter the current diesel cost for the respective region or location in INR per liter (e.g., INR 87.62).</t>
  </si>
  <si>
    <t>2. Vehicle Type Selection:</t>
  </si>
  <si>
    <t>Based on your operational needs, such as equipment size and cargo weight, choose the appropriate vehicle type (e.g., 20 ft Triple Axel - 28 ton).</t>
  </si>
  <si>
    <t>3. Vehicle Age:</t>
  </si>
  <si>
    <t>Vehicle age is an important factor. Market practice suggests using 2-3-year-old vehicles for long-haul operations, and 5-7-year-old vehicles for short-haul operations. Input the vehicle’s age accordingly.</t>
  </si>
  <si>
    <t>4. Trip Distance (Round/Oneway):</t>
  </si>
  <si>
    <t>Update the round-trip or one-way distance in kilometers. This should account for both empty or laden container pick-up and return to the loading/unloading location, back to port or empty yard.</t>
  </si>
  <si>
    <t>5. Turnaround Time (TAT) in Days:</t>
  </si>
  <si>
    <t>Turnaround Time (TAT) is a crucial factor in rate variation. When updating TAT, consider multiple elements, such as:</t>
  </si>
  <si>
    <t>Empty container pick-up time</t>
  </si>
  <si>
    <t>Loading/unloading time</t>
  </si>
  <si>
    <t>Transit time</t>
  </si>
  <si>
    <t>Document receiving time</t>
  </si>
  <si>
    <t>Waiting times at port, empty yard, and unloading location</t>
  </si>
  <si>
    <t>Time required to arrange the next load</t>
  </si>
  <si>
    <t>6. Trip Type Selection:</t>
  </si>
  <si>
    <t>Select whether the trip is one-way or round-trip. For round trips, keep in mind that half of the distance will be run with an empty truck, impacting fuel efficiency (KMPL).</t>
  </si>
  <si>
    <t>7. Credit Period:</t>
  </si>
  <si>
    <t>Credit period is another factor affecting the freight rate. Update this based on the agreed-upon terms (e.g., 30 days). A longer credit period could increase freight charges.</t>
  </si>
  <si>
    <t>8. Transporter Profit Margin:</t>
  </si>
  <si>
    <t>In line with market practice, transporters typically add a margin of 2-3% to the total freight cost. Input the appropriate margin (e.g., 2%).</t>
  </si>
  <si>
    <t xml:space="preserve">Road Freight Estimate Generator Tool </t>
  </si>
  <si>
    <t>We need to consider one more senrio flat or hill station , if its hill station TAT need to be increaes simillarly reduce the KMPL</t>
  </si>
  <si>
    <t>Add reefer vehicles input (  AC cost | genset fuel cons..| )</t>
  </si>
  <si>
    <t xml:space="preserve">Empty Yard | Port | CFS  in time </t>
  </si>
  <si>
    <t>Booking copy received time ( CRO - Empty  | EIR - Laden | DO - Port Validity Empty Return Validity |Gate Pass | OOC | BL )</t>
  </si>
  <si>
    <t xml:space="preserve">Laden Pick up | Empty continer received time </t>
  </si>
  <si>
    <t xml:space="preserve">Leaving time from Empty Yard | Port </t>
  </si>
  <si>
    <t xml:space="preserve">Empty Yard | Port gate in time </t>
  </si>
  <si>
    <t>Form -13 | DO with Validity</t>
  </si>
  <si>
    <t xml:space="preserve">Port | Empty Yard Continer off loading time </t>
  </si>
  <si>
    <t>Idle time to get next Shipment</t>
  </si>
  <si>
    <t>GST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</si>
</sst>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 [$INR]\ * #,##0.00_ ;_ [$INR]\ * \-#,##0.00_ ;_ [$INR]\ * &quot;-&quot;??_ ;_ @_ "/>
    <numFmt numFmtId="165" formatCode="_ [$INR]\ * #,##0_ ;_ [$INR]\ * \-#,##0_ ;_ [$INR]\ * &quot;-&quot;??_ ;_ @_ "/>
    <numFmt numFmtId="166" formatCode="d\ &quot;days&quot;\ h\ &quot;hours&quot;\ m\ &quot;minutes&quot;"/>
    <numFmt numFmtId="167" formatCode="&quot;₹&quot;\ #,##0.00"/>
  </numFmts>
  <fonts count="14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0"/>
      <color theme="1"/>
      <name val="Maersk Headline"/>
    </font>
    <font>
      <b/>
      <sz val="10"/>
      <color theme="1"/>
      <name val="Maersk Headline"/>
    </font>
    <font>
      <sz val="10"/>
      <color theme="0"/>
      <name val="Maersk Headline"/>
    </font>
    <font>
      <b/>
      <sz val="10"/>
      <color rgb="FFFF0000"/>
      <name val="Maersk Headline"/>
    </font>
    <font>
      <b/>
      <sz val="10"/>
      <color theme="0"/>
      <name val="Maersk Headline"/>
    </font>
    <font>
      <b/>
      <sz val="11"/>
      <color theme="1"/>
      <name val="Aptos Narrow"/>
      <family val="2"/>
      <scheme val="minor"/>
    </font>
    <font>
      <b/>
      <sz val="11"/>
      <color theme="1"/>
      <name val="Maersk Headline"/>
    </font>
    <font>
      <b/>
      <sz val="12"/>
      <color theme="1"/>
      <name val="Maersk Headline"/>
    </font>
    <font>
      <sz val="11"/>
      <color theme="0"/>
      <name val="Aptos Narrow"/>
      <family val="2"/>
      <scheme val="minor"/>
    </font>
    <font>
      <b/>
      <sz val="14"/>
      <color theme="1"/>
      <name val="Maersk Headline"/>
    </font>
    <font>
      <b/>
      <sz val="16"/>
      <color theme="1"/>
      <name val="Aptos Narrow"/>
      <family val="2"/>
      <scheme val="minor"/>
    </font>
    <font>
      <b/>
      <sz val="16"/>
      <color rgb="FF002060"/>
      <name val="Maersk Headline"/>
    </font>
  </fonts>
  <fills count="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3" tint="0.49998474074526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4.9989318521683403E-2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12">
    <xf numFmtId="0" fontId="0" fillId="0" borderId="0" xfId="0"/>
    <xf numFmtId="0" fontId="2" fillId="0" borderId="0" xfId="0" applyFont="1"/>
    <xf numFmtId="165" fontId="2" fillId="0" borderId="0" xfId="0" applyNumberFormat="1" applyFont="1"/>
    <xf numFmtId="164" fontId="2" fillId="0" borderId="1" xfId="0" applyNumberFormat="1" applyFont="1" applyBorder="1"/>
    <xf numFmtId="164" fontId="2" fillId="0" borderId="0" xfId="0" applyNumberFormat="1" applyFont="1"/>
    <xf numFmtId="165" fontId="3" fillId="0" borderId="0" xfId="0" applyNumberFormat="1" applyFont="1"/>
    <xf numFmtId="164" fontId="3" fillId="0" borderId="0" xfId="0" applyNumberFormat="1" applyFont="1"/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wrapText="1"/>
    </xf>
    <xf numFmtId="0" fontId="2" fillId="0" borderId="1" xfId="0" applyFont="1" applyBorder="1"/>
    <xf numFmtId="165" fontId="2" fillId="0" borderId="1" xfId="0" applyNumberFormat="1" applyFont="1" applyBorder="1"/>
    <xf numFmtId="10" fontId="2" fillId="0" borderId="1" xfId="0" applyNumberFormat="1" applyFont="1" applyBorder="1"/>
    <xf numFmtId="9" fontId="2" fillId="0" borderId="0" xfId="0" applyNumberFormat="1" applyFont="1"/>
    <xf numFmtId="3" fontId="2" fillId="0" borderId="0" xfId="0" applyNumberFormat="1" applyFont="1"/>
    <xf numFmtId="0" fontId="2" fillId="0" borderId="0" xfId="0" applyFont="1" applyAlignment="1">
      <alignment horizontal="center"/>
    </xf>
    <xf numFmtId="10" fontId="2" fillId="0" borderId="0" xfId="1" applyNumberFormat="1" applyFont="1"/>
    <xf numFmtId="0" fontId="3" fillId="3" borderId="17" xfId="0" applyFont="1" applyFill="1" applyBorder="1"/>
    <xf numFmtId="0" fontId="3" fillId="3" borderId="4" xfId="0" applyFont="1" applyFill="1" applyBorder="1"/>
    <xf numFmtId="0" fontId="3" fillId="3" borderId="18" xfId="0" applyFont="1" applyFill="1" applyBorder="1"/>
    <xf numFmtId="0" fontId="2" fillId="0" borderId="5" xfId="0" applyFont="1" applyBorder="1"/>
    <xf numFmtId="164" fontId="2" fillId="0" borderId="19" xfId="0" applyNumberFormat="1" applyFont="1" applyBorder="1"/>
    <xf numFmtId="165" fontId="2" fillId="3" borderId="0" xfId="0" applyNumberFormat="1" applyFont="1" applyFill="1"/>
    <xf numFmtId="164" fontId="3" fillId="3" borderId="0" xfId="0" applyNumberFormat="1" applyFont="1" applyFill="1"/>
    <xf numFmtId="164" fontId="3" fillId="3" borderId="19" xfId="0" applyNumberFormat="1" applyFont="1" applyFill="1" applyBorder="1"/>
    <xf numFmtId="164" fontId="3" fillId="0" borderId="19" xfId="0" applyNumberFormat="1" applyFont="1" applyBorder="1"/>
    <xf numFmtId="0" fontId="3" fillId="3" borderId="0" xfId="0" applyFont="1" applyFill="1"/>
    <xf numFmtId="0" fontId="3" fillId="3" borderId="19" xfId="0" applyFont="1" applyFill="1" applyBorder="1"/>
    <xf numFmtId="165" fontId="2" fillId="0" borderId="19" xfId="0" applyNumberFormat="1" applyFont="1" applyBorder="1"/>
    <xf numFmtId="0" fontId="2" fillId="3" borderId="20" xfId="0" applyFont="1" applyFill="1" applyBorder="1"/>
    <xf numFmtId="164" fontId="3" fillId="3" borderId="9" xfId="0" applyNumberFormat="1" applyFont="1" applyFill="1" applyBorder="1"/>
    <xf numFmtId="164" fontId="2" fillId="3" borderId="9" xfId="0" applyNumberFormat="1" applyFont="1" applyFill="1" applyBorder="1"/>
    <xf numFmtId="164" fontId="3" fillId="3" borderId="21" xfId="0" applyNumberFormat="1" applyFont="1" applyFill="1" applyBorder="1"/>
    <xf numFmtId="0" fontId="3" fillId="3" borderId="18" xfId="0" applyFont="1" applyFill="1" applyBorder="1" applyAlignment="1">
      <alignment horizontal="center"/>
    </xf>
    <xf numFmtId="165" fontId="3" fillId="3" borderId="21" xfId="0" applyNumberFormat="1" applyFont="1" applyFill="1" applyBorder="1"/>
    <xf numFmtId="165" fontId="2" fillId="2" borderId="0" xfId="0" applyNumberFormat="1" applyFont="1" applyFill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164" fontId="2" fillId="0" borderId="0" xfId="0" applyNumberFormat="1" applyFont="1" applyAlignment="1">
      <alignment vertical="center"/>
    </xf>
    <xf numFmtId="22" fontId="0" fillId="0" borderId="1" xfId="0" applyNumberFormat="1" applyBorder="1"/>
    <xf numFmtId="20" fontId="0" fillId="0" borderId="1" xfId="0" applyNumberFormat="1" applyBorder="1"/>
    <xf numFmtId="166" fontId="0" fillId="0" borderId="1" xfId="0" applyNumberFormat="1" applyBorder="1"/>
    <xf numFmtId="2" fontId="0" fillId="7" borderId="1" xfId="0" applyNumberFormat="1" applyFill="1" applyBorder="1"/>
    <xf numFmtId="2" fontId="0" fillId="0" borderId="1" xfId="0" applyNumberFormat="1" applyBorder="1"/>
    <xf numFmtId="46" fontId="0" fillId="0" borderId="1" xfId="0" applyNumberFormat="1" applyBorder="1"/>
    <xf numFmtId="21" fontId="2" fillId="0" borderId="0" xfId="0" applyNumberFormat="1" applyFont="1"/>
    <xf numFmtId="0" fontId="0" fillId="0" borderId="14" xfId="0" applyBorder="1"/>
    <xf numFmtId="0" fontId="0" fillId="0" borderId="5" xfId="0" applyBorder="1"/>
    <xf numFmtId="20" fontId="0" fillId="0" borderId="6" xfId="0" applyNumberFormat="1" applyBorder="1"/>
    <xf numFmtId="46" fontId="0" fillId="0" borderId="6" xfId="0" applyNumberFormat="1" applyBorder="1"/>
    <xf numFmtId="46" fontId="0" fillId="0" borderId="0" xfId="0" applyNumberFormat="1"/>
    <xf numFmtId="0" fontId="0" fillId="0" borderId="20" xfId="0" applyBorder="1"/>
    <xf numFmtId="0" fontId="0" fillId="0" borderId="9" xfId="0" applyBorder="1"/>
    <xf numFmtId="0" fontId="0" fillId="8" borderId="5" xfId="0" applyFill="1" applyBorder="1"/>
    <xf numFmtId="166" fontId="0" fillId="8" borderId="0" xfId="0" applyNumberFormat="1" applyFill="1"/>
    <xf numFmtId="0" fontId="0" fillId="8" borderId="0" xfId="0" applyFill="1"/>
    <xf numFmtId="0" fontId="0" fillId="8" borderId="19" xfId="0" applyFill="1" applyBorder="1"/>
    <xf numFmtId="9" fontId="0" fillId="0" borderId="1" xfId="1" applyFont="1" applyBorder="1"/>
    <xf numFmtId="9" fontId="0" fillId="0" borderId="1" xfId="0" applyNumberFormat="1" applyBorder="1"/>
    <xf numFmtId="0" fontId="7" fillId="2" borderId="22" xfId="0" applyFont="1" applyFill="1" applyBorder="1" applyAlignment="1">
      <alignment horizontal="center"/>
    </xf>
    <xf numFmtId="0" fontId="7" fillId="2" borderId="12" xfId="0" applyFont="1" applyFill="1" applyBorder="1" applyAlignment="1">
      <alignment horizontal="center"/>
    </xf>
    <xf numFmtId="0" fontId="7" fillId="2" borderId="11" xfId="0" applyFont="1" applyFill="1" applyBorder="1" applyAlignment="1">
      <alignment horizontal="center"/>
    </xf>
    <xf numFmtId="0" fontId="7" fillId="2" borderId="14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/>
    </xf>
    <xf numFmtId="0" fontId="0" fillId="8" borderId="23" xfId="0" applyFill="1" applyBorder="1"/>
    <xf numFmtId="2" fontId="10" fillId="0" borderId="19" xfId="0" applyNumberFormat="1" applyFont="1" applyBorder="1"/>
    <xf numFmtId="167" fontId="10" fillId="0" borderId="19" xfId="0" applyNumberFormat="1" applyFont="1" applyBorder="1"/>
    <xf numFmtId="0" fontId="10" fillId="0" borderId="21" xfId="0" applyFont="1" applyBorder="1"/>
    <xf numFmtId="166" fontId="10" fillId="0" borderId="0" xfId="0" applyNumberFormat="1" applyFont="1"/>
    <xf numFmtId="0" fontId="7" fillId="0" borderId="1" xfId="0" applyFont="1" applyBorder="1"/>
    <xf numFmtId="167" fontId="7" fillId="0" borderId="1" xfId="0" applyNumberFormat="1" applyFont="1" applyBorder="1"/>
    <xf numFmtId="46" fontId="7" fillId="0" borderId="6" xfId="0" applyNumberFormat="1" applyFont="1" applyBorder="1"/>
    <xf numFmtId="0" fontId="7" fillId="0" borderId="6" xfId="0" applyFont="1" applyBorder="1"/>
    <xf numFmtId="0" fontId="7" fillId="0" borderId="0" xfId="0" applyFont="1" applyAlignment="1">
      <alignment horizontal="left" vertical="center" indent="1"/>
    </xf>
    <xf numFmtId="0" fontId="0" fillId="0" borderId="0" xfId="0" applyAlignment="1">
      <alignment horizontal="left" vertical="center" indent="2"/>
    </xf>
    <xf numFmtId="0" fontId="0" fillId="0" borderId="0" xfId="0" applyAlignment="1">
      <alignment horizontal="left" vertical="center" indent="3"/>
    </xf>
    <xf numFmtId="0" fontId="12" fillId="0" borderId="0" xfId="0" applyFont="1"/>
    <xf numFmtId="0" fontId="3" fillId="0" borderId="3" xfId="0" applyFont="1" applyBorder="1" applyAlignment="1">
      <alignment vertical="center"/>
    </xf>
    <xf numFmtId="164" fontId="8" fillId="6" borderId="2" xfId="0" applyNumberFormat="1" applyFont="1" applyFill="1" applyBorder="1" applyAlignment="1">
      <alignment vertical="center"/>
    </xf>
    <xf numFmtId="165" fontId="2" fillId="0" borderId="4" xfId="0" applyNumberFormat="1" applyFont="1" applyBorder="1" applyAlignment="1">
      <alignment vertical="center"/>
    </xf>
    <xf numFmtId="165" fontId="2" fillId="0" borderId="3" xfId="0" applyNumberFormat="1" applyFont="1" applyBorder="1" applyAlignment="1">
      <alignment vertical="center"/>
    </xf>
    <xf numFmtId="164" fontId="9" fillId="7" borderId="2" xfId="0" applyNumberFormat="1" applyFont="1" applyFill="1" applyBorder="1" applyAlignment="1">
      <alignment vertical="center"/>
    </xf>
    <xf numFmtId="165" fontId="2" fillId="0" borderId="0" xfId="0" applyNumberFormat="1" applyFont="1" applyAlignment="1">
      <alignment vertical="center"/>
    </xf>
    <xf numFmtId="0" fontId="3" fillId="0" borderId="5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164" fontId="2" fillId="0" borderId="8" xfId="0" applyNumberFormat="1" applyFont="1" applyBorder="1" applyAlignment="1">
      <alignment vertical="center"/>
    </xf>
    <xf numFmtId="0" fontId="2" fillId="2" borderId="0" xfId="0" applyFont="1" applyFill="1" applyAlignment="1">
      <alignment horizontal="left" vertical="center"/>
    </xf>
    <xf numFmtId="0" fontId="2" fillId="0" borderId="0" xfId="0" quotePrefix="1" applyFont="1" applyAlignment="1">
      <alignment vertical="center"/>
    </xf>
    <xf numFmtId="9" fontId="2" fillId="0" borderId="0" xfId="0" applyNumberFormat="1" applyFont="1" applyAlignment="1">
      <alignment vertical="center"/>
    </xf>
    <xf numFmtId="0" fontId="5" fillId="0" borderId="7" xfId="0" applyFont="1" applyBorder="1" applyAlignment="1">
      <alignment vertical="center"/>
    </xf>
    <xf numFmtId="0" fontId="2" fillId="2" borderId="2" xfId="0" applyFont="1" applyFill="1" applyBorder="1" applyAlignment="1">
      <alignment horizontal="center" vertical="center"/>
    </xf>
    <xf numFmtId="10" fontId="2" fillId="0" borderId="0" xfId="1" applyNumberFormat="1" applyFont="1" applyBorder="1" applyAlignment="1">
      <alignment vertical="center"/>
    </xf>
    <xf numFmtId="0" fontId="2" fillId="4" borderId="15" xfId="0" applyFont="1" applyFill="1" applyBorder="1" applyAlignment="1">
      <alignment vertical="center"/>
    </xf>
    <xf numFmtId="0" fontId="2" fillId="4" borderId="16" xfId="0" applyFont="1" applyFill="1" applyBorder="1" applyAlignment="1">
      <alignment vertical="center"/>
    </xf>
    <xf numFmtId="164" fontId="2" fillId="0" borderId="11" xfId="0" applyNumberFormat="1" applyFont="1" applyBorder="1" applyAlignment="1">
      <alignment vertical="center"/>
    </xf>
    <xf numFmtId="164" fontId="3" fillId="5" borderId="12" xfId="0" applyNumberFormat="1" applyFont="1" applyFill="1" applyBorder="1" applyAlignment="1">
      <alignment vertical="center"/>
    </xf>
    <xf numFmtId="20" fontId="2" fillId="0" borderId="0" xfId="0" applyNumberFormat="1" applyFont="1" applyAlignment="1">
      <alignment vertical="center"/>
    </xf>
    <xf numFmtId="10" fontId="2" fillId="0" borderId="0" xfId="0" applyNumberFormat="1" applyFont="1" applyAlignment="1">
      <alignment vertical="center"/>
    </xf>
    <xf numFmtId="0" fontId="2" fillId="0" borderId="14" xfId="0" applyFont="1" applyBorder="1" applyAlignment="1">
      <alignment vertical="center"/>
    </xf>
    <xf numFmtId="164" fontId="3" fillId="5" borderId="6" xfId="0" applyNumberFormat="1" applyFont="1" applyFill="1" applyBorder="1" applyAlignment="1">
      <alignment vertical="center"/>
    </xf>
    <xf numFmtId="0" fontId="3" fillId="0" borderId="7" xfId="0" applyFont="1" applyBorder="1" applyAlignment="1">
      <alignment vertical="center"/>
    </xf>
    <xf numFmtId="0" fontId="3" fillId="0" borderId="8" xfId="0" applyFont="1" applyBorder="1" applyAlignment="1">
      <alignment vertical="center"/>
    </xf>
    <xf numFmtId="9" fontId="2" fillId="2" borderId="2" xfId="0" applyNumberFormat="1" applyFont="1" applyFill="1" applyBorder="1" applyAlignment="1">
      <alignment horizontal="center" vertical="center"/>
    </xf>
    <xf numFmtId="0" fontId="2" fillId="0" borderId="9" xfId="0" applyFont="1" applyBorder="1" applyAlignment="1">
      <alignment vertical="center"/>
    </xf>
    <xf numFmtId="0" fontId="2" fillId="0" borderId="13" xfId="0" applyFont="1" applyBorder="1" applyAlignment="1">
      <alignment vertical="center"/>
    </xf>
    <xf numFmtId="1" fontId="3" fillId="5" borderId="10" xfId="0" applyNumberFormat="1" applyFont="1" applyFill="1" applyBorder="1" applyAlignment="1">
      <alignment vertical="center"/>
    </xf>
    <xf numFmtId="0" fontId="11" fillId="0" borderId="17" xfId="0" applyFont="1" applyBorder="1" applyAlignment="1">
      <alignment horizontal="center"/>
    </xf>
    <xf numFmtId="165" fontId="4" fillId="0" borderId="0" xfId="0" applyNumberFormat="1" applyFont="1" applyAlignment="1">
      <alignment vertical="center"/>
    </xf>
    <xf numFmtId="0" fontId="6" fillId="0" borderId="0" xfId="0" applyFont="1" applyAlignment="1">
      <alignment vertical="center"/>
    </xf>
    <xf numFmtId="9" fontId="6" fillId="0" borderId="0" xfId="0" applyNumberFormat="1" applyFont="1" applyAlignment="1">
      <alignment horizontal="center" vertical="center"/>
    </xf>
    <xf numFmtId="0" fontId="13" fillId="4" borderId="24" xfId="0" applyFont="1" applyFill="1" applyBorder="1" applyAlignment="1">
      <alignment horizontal="center"/>
    </xf>
    <xf numFmtId="0" fontId="13" fillId="4" borderId="25" xfId="0" applyFont="1" applyFill="1" applyBorder="1" applyAlignment="1">
      <alignment horizontal="center"/>
    </xf>
    <xf numFmtId="0" fontId="13" fillId="4" borderId="16" xfId="0" applyFont="1" applyFill="1" applyBorder="1" applyAlignment="1">
      <alignment horizont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22/10/relationships/richValueRel" Target="richData/richValueRel.xml"/><Relationship Id="rId3" Type="http://schemas.openxmlformats.org/officeDocument/2006/relationships/worksheet" Target="worksheets/sheet3.xml"/><Relationship Id="rId7" Type="http://schemas.openxmlformats.org/officeDocument/2006/relationships/sheetMetadata" Target="metadata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microsoft.com/office/2017/06/relationships/rdRichValueTypes" Target="richData/rdRichValueTypes.xml"/><Relationship Id="rId5" Type="http://schemas.openxmlformats.org/officeDocument/2006/relationships/styles" Target="styles.xml"/><Relationship Id="rId10" Type="http://schemas.microsoft.com/office/2017/06/relationships/rdRichValueStructure" Target="richData/rdrichvaluestructure.xml"/><Relationship Id="rId4" Type="http://schemas.openxmlformats.org/officeDocument/2006/relationships/theme" Target="theme/theme1.xml"/><Relationship Id="rId9" Type="http://schemas.microsoft.com/office/2017/06/relationships/rdRichValue" Target="richData/rdrichvalue.xml"/></Relationships>
</file>

<file path=xl/richData/_rels/richValueRel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3">
  <rv s="0">
    <v>0</v>
    <v>5</v>
  </rv>
  <rv s="0">
    <v>1</v>
    <v>5</v>
  </rv>
  <rv s="0">
    <v>2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  <rel r:id="rId2"/>
  <rel r:id="rId3"/>
</richValueRel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A0E036-949D-4240-A7BB-CBBC9A5BDC65}">
  <dimension ref="A1:A23"/>
  <sheetViews>
    <sheetView showGridLines="0" view="pageBreakPreview" zoomScale="83" zoomScaleNormal="100" zoomScaleSheetLayoutView="83" workbookViewId="0">
      <selection activeCell="A20" sqref="A20"/>
    </sheetView>
  </sheetViews>
  <sheetFormatPr defaultRowHeight="14.5" x14ac:dyDescent="0.35"/>
  <cols>
    <col min="1" max="1" width="165.81640625" bestFit="1" customWidth="1"/>
  </cols>
  <sheetData>
    <row r="1" spans="1:1" ht="21" x14ac:dyDescent="0.5">
      <c r="A1" s="75" t="s">
        <v>101</v>
      </c>
    </row>
    <row r="2" spans="1:1" x14ac:dyDescent="0.35">
      <c r="A2" s="72" t="s">
        <v>102</v>
      </c>
    </row>
    <row r="3" spans="1:1" x14ac:dyDescent="0.35">
      <c r="A3" s="73" t="s">
        <v>103</v>
      </c>
    </row>
    <row r="4" spans="1:1" x14ac:dyDescent="0.35">
      <c r="A4" s="72" t="s">
        <v>104</v>
      </c>
    </row>
    <row r="5" spans="1:1" x14ac:dyDescent="0.35">
      <c r="A5" s="73" t="s">
        <v>105</v>
      </c>
    </row>
    <row r="6" spans="1:1" x14ac:dyDescent="0.35">
      <c r="A6" s="72" t="s">
        <v>106</v>
      </c>
    </row>
    <row r="7" spans="1:1" x14ac:dyDescent="0.35">
      <c r="A7" s="73" t="s">
        <v>107</v>
      </c>
    </row>
    <row r="8" spans="1:1" x14ac:dyDescent="0.35">
      <c r="A8" s="72" t="s">
        <v>108</v>
      </c>
    </row>
    <row r="9" spans="1:1" x14ac:dyDescent="0.35">
      <c r="A9" s="73" t="s">
        <v>109</v>
      </c>
    </row>
    <row r="10" spans="1:1" x14ac:dyDescent="0.35">
      <c r="A10" s="72" t="s">
        <v>110</v>
      </c>
    </row>
    <row r="11" spans="1:1" x14ac:dyDescent="0.35">
      <c r="A11" s="73" t="s">
        <v>111</v>
      </c>
    </row>
    <row r="12" spans="1:1" x14ac:dyDescent="0.35">
      <c r="A12" s="74" t="s">
        <v>112</v>
      </c>
    </row>
    <row r="13" spans="1:1" x14ac:dyDescent="0.35">
      <c r="A13" s="74" t="s">
        <v>113</v>
      </c>
    </row>
    <row r="14" spans="1:1" x14ac:dyDescent="0.35">
      <c r="A14" s="74" t="s">
        <v>114</v>
      </c>
    </row>
    <row r="15" spans="1:1" x14ac:dyDescent="0.35">
      <c r="A15" s="74" t="s">
        <v>115</v>
      </c>
    </row>
    <row r="16" spans="1:1" x14ac:dyDescent="0.35">
      <c r="A16" s="74" t="s">
        <v>116</v>
      </c>
    </row>
    <row r="17" spans="1:1" x14ac:dyDescent="0.35">
      <c r="A17" s="74" t="s">
        <v>117</v>
      </c>
    </row>
    <row r="18" spans="1:1" x14ac:dyDescent="0.35">
      <c r="A18" s="72" t="s">
        <v>118</v>
      </c>
    </row>
    <row r="19" spans="1:1" x14ac:dyDescent="0.35">
      <c r="A19" s="73" t="s">
        <v>119</v>
      </c>
    </row>
    <row r="20" spans="1:1" x14ac:dyDescent="0.35">
      <c r="A20" s="72" t="s">
        <v>120</v>
      </c>
    </row>
    <row r="21" spans="1:1" x14ac:dyDescent="0.35">
      <c r="A21" s="73" t="s">
        <v>121</v>
      </c>
    </row>
    <row r="22" spans="1:1" x14ac:dyDescent="0.35">
      <c r="A22" s="72" t="s">
        <v>122</v>
      </c>
    </row>
    <row r="23" spans="1:1" x14ac:dyDescent="0.35">
      <c r="A23" s="73" t="s">
        <v>123</v>
      </c>
    </row>
  </sheetData>
  <sheetProtection algorithmName="SHA-512" hashValue="qVseNE5kZwN7Umuh8Ng2Ben875Ju6RTebp7Tf53lGIjhbchAgL2TW9WmhOVv80584Mv6Nb7X1Lxqsfhwa5tghQ==" saltValue="dviyablL6fTPidtSW9EvaQ==" spinCount="100000" sheet="1" objects="1" scenarios="1"/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69B62F-2B6B-4730-A476-21649807AACE}">
  <sheetPr>
    <tabColor rgb="FFFFFF00"/>
  </sheetPr>
  <dimension ref="B1:AO73"/>
  <sheetViews>
    <sheetView showGridLines="0" tabSelected="1" view="pageBreakPreview" zoomScale="104" zoomScaleNormal="100" zoomScaleSheetLayoutView="104" workbookViewId="0">
      <selection activeCell="A12" sqref="A12:XFD68"/>
    </sheetView>
  </sheetViews>
  <sheetFormatPr defaultRowHeight="15" x14ac:dyDescent="0.4"/>
  <cols>
    <col min="1" max="1" width="8.81640625" style="1" bestFit="1" customWidth="1"/>
    <col min="2" max="2" width="37.90625" style="1" bestFit="1" customWidth="1"/>
    <col min="3" max="3" width="22.453125" style="1" bestFit="1" customWidth="1"/>
    <col min="4" max="4" width="17.54296875" style="1" hidden="1" customWidth="1"/>
    <col min="5" max="5" width="23.36328125" style="1" hidden="1" customWidth="1"/>
    <col min="6" max="6" width="15.453125" style="1" hidden="1" customWidth="1"/>
    <col min="7" max="7" width="37.453125" style="1" bestFit="1" customWidth="1"/>
    <col min="8" max="8" width="18.36328125" style="1" bestFit="1" customWidth="1"/>
    <col min="9" max="9" width="10.7265625" style="1" bestFit="1" customWidth="1"/>
    <col min="10" max="10" width="14.54296875" style="1" customWidth="1"/>
    <col min="11" max="11" width="13" style="1" bestFit="1" customWidth="1"/>
    <col min="12" max="12" width="14.54296875" style="1" customWidth="1"/>
    <col min="13" max="13" width="8.7265625" style="1" customWidth="1"/>
    <col min="14" max="14" width="14.7265625" style="1" bestFit="1" customWidth="1"/>
    <col min="15" max="35" width="8.7265625" style="1" customWidth="1"/>
    <col min="36" max="36" width="8.81640625" style="1" customWidth="1"/>
    <col min="37" max="37" width="12.08984375" style="1" bestFit="1" customWidth="1"/>
    <col min="38" max="38" width="17.08984375" style="1" customWidth="1"/>
    <col min="39" max="39" width="13.54296875" style="1" customWidth="1"/>
    <col min="40" max="40" width="12.7265625" style="1" bestFit="1" customWidth="1"/>
    <col min="41" max="41" width="10.6328125" style="1" bestFit="1" customWidth="1"/>
    <col min="42" max="43" width="8.7265625" style="1" customWidth="1"/>
    <col min="44" max="16384" width="8.7265625" style="1"/>
  </cols>
  <sheetData>
    <row r="1" spans="2:41" ht="15.5" thickBot="1" x14ac:dyDescent="0.45"/>
    <row r="2" spans="2:41" ht="24" thickBot="1" x14ac:dyDescent="0.65">
      <c r="B2" s="105" t="e" vm="1">
        <v>#VALUE!</v>
      </c>
      <c r="C2" s="109" t="s">
        <v>124</v>
      </c>
      <c r="D2" s="110"/>
      <c r="E2" s="110"/>
      <c r="F2" s="110"/>
      <c r="G2" s="110"/>
      <c r="H2" s="111"/>
    </row>
    <row r="3" spans="2:41" s="36" customFormat="1" ht="25" customHeight="1" thickBot="1" x14ac:dyDescent="0.4">
      <c r="B3" s="76" t="s">
        <v>34</v>
      </c>
      <c r="C3" s="77">
        <v>94</v>
      </c>
      <c r="D3" s="78"/>
      <c r="E3" s="78"/>
      <c r="F3" s="78"/>
      <c r="G3" s="79" t="s">
        <v>72</v>
      </c>
      <c r="H3" s="80">
        <f>(H22*C7)+H29</f>
        <v>9000</v>
      </c>
      <c r="I3" s="34" t="e" vm="2">
        <v>#VALUE!</v>
      </c>
      <c r="J3" s="81"/>
      <c r="K3" s="81"/>
      <c r="L3" s="81"/>
      <c r="M3" s="81"/>
      <c r="AL3" s="36" t="s">
        <v>37</v>
      </c>
      <c r="AM3" s="36" t="s">
        <v>43</v>
      </c>
    </row>
    <row r="4" spans="2:41" s="36" customFormat="1" ht="25" customHeight="1" thickBot="1" x14ac:dyDescent="0.4">
      <c r="B4" s="82" t="s">
        <v>48</v>
      </c>
      <c r="C4" s="83" t="s">
        <v>53</v>
      </c>
      <c r="D4" s="106">
        <f>VLOOKUP(C5,$B$37:$D$46,3,FALSE)</f>
        <v>1982464</v>
      </c>
      <c r="G4" s="84" t="s">
        <v>24</v>
      </c>
      <c r="H4" s="80">
        <f>ROUNDDOWN((H3/C6)/0.5,0)*0.5</f>
        <v>150</v>
      </c>
      <c r="I4" s="85" t="e" vm="3">
        <v>#VALUE!</v>
      </c>
      <c r="AH4" s="36" t="s">
        <v>68</v>
      </c>
      <c r="AJ4" s="36">
        <v>1</v>
      </c>
      <c r="AL4" s="86" t="s">
        <v>46</v>
      </c>
      <c r="AM4" s="87">
        <v>0</v>
      </c>
      <c r="AN4" s="37">
        <f t="shared" ref="AN4:AN11" si="0">$H$3</f>
        <v>9000</v>
      </c>
      <c r="AO4" s="37">
        <f>AN4*AM4</f>
        <v>0</v>
      </c>
    </row>
    <row r="5" spans="2:41" s="36" customFormat="1" ht="25" customHeight="1" thickBot="1" x14ac:dyDescent="0.4">
      <c r="B5" s="88" t="s">
        <v>98</v>
      </c>
      <c r="C5" s="89">
        <v>5</v>
      </c>
      <c r="D5" s="107" t="s">
        <v>35</v>
      </c>
      <c r="E5" s="108">
        <f>VLOOKUP(C9,$AL$3:$AM$11,2,FALSE)</f>
        <v>2.5000000000000001E-2</v>
      </c>
      <c r="F5" s="90"/>
      <c r="G5" s="91"/>
      <c r="H5" s="92"/>
      <c r="AH5" s="36" t="s">
        <v>69</v>
      </c>
      <c r="AJ5" s="36">
        <v>2</v>
      </c>
      <c r="AL5" s="36" t="s">
        <v>45</v>
      </c>
      <c r="AM5" s="87">
        <v>0</v>
      </c>
      <c r="AN5" s="37">
        <f t="shared" si="0"/>
        <v>9000</v>
      </c>
      <c r="AO5" s="37">
        <f t="shared" ref="AO5:AO11" si="1">AN5*AM5</f>
        <v>0</v>
      </c>
    </row>
    <row r="6" spans="2:41" s="36" customFormat="1" ht="25" customHeight="1" thickBot="1" x14ac:dyDescent="0.4">
      <c r="B6" s="88" t="s">
        <v>99</v>
      </c>
      <c r="C6" s="89">
        <v>60</v>
      </c>
      <c r="G6" s="93" t="s">
        <v>73</v>
      </c>
      <c r="H6" s="94">
        <f>H3-H7-H8-H9</f>
        <v>6325</v>
      </c>
      <c r="N6" s="95"/>
      <c r="O6" s="95"/>
      <c r="P6" s="95"/>
      <c r="AJ6" s="36">
        <v>3</v>
      </c>
      <c r="AL6" s="36" t="s">
        <v>38</v>
      </c>
      <c r="AM6" s="96">
        <v>5.0000000000000001E-3</v>
      </c>
      <c r="AN6" s="37">
        <f t="shared" si="0"/>
        <v>9000</v>
      </c>
      <c r="AO6" s="37">
        <f t="shared" si="1"/>
        <v>45</v>
      </c>
    </row>
    <row r="7" spans="2:41" s="36" customFormat="1" ht="25" customHeight="1" thickBot="1" x14ac:dyDescent="0.4">
      <c r="B7" s="88" t="s">
        <v>100</v>
      </c>
      <c r="C7" s="89">
        <v>1.5</v>
      </c>
      <c r="G7" s="97" t="s">
        <v>63</v>
      </c>
      <c r="H7" s="98">
        <f>VLOOKUP(C7,$AJ$15:$AM$73,4,FALSE)</f>
        <v>2000</v>
      </c>
      <c r="I7" s="37"/>
      <c r="AJ7" s="36">
        <v>4</v>
      </c>
      <c r="AL7" s="36" t="s">
        <v>41</v>
      </c>
      <c r="AM7" s="87">
        <v>0.01</v>
      </c>
      <c r="AN7" s="37">
        <f t="shared" si="0"/>
        <v>9000</v>
      </c>
      <c r="AO7" s="37">
        <f t="shared" si="1"/>
        <v>90</v>
      </c>
    </row>
    <row r="8" spans="2:41" s="36" customFormat="1" ht="25" customHeight="1" thickBot="1" x14ac:dyDescent="0.4">
      <c r="B8" s="99" t="s">
        <v>67</v>
      </c>
      <c r="C8" s="89" t="s">
        <v>69</v>
      </c>
      <c r="G8" s="97" t="s">
        <v>62</v>
      </c>
      <c r="H8" s="98">
        <f>VLOOKUP(C9,$AL$4:$AO$11,4,FALSE)</f>
        <v>225</v>
      </c>
      <c r="I8" s="37"/>
      <c r="AJ8" s="36">
        <v>5</v>
      </c>
      <c r="AL8" s="36" t="s">
        <v>40</v>
      </c>
      <c r="AM8" s="87">
        <v>0.02</v>
      </c>
      <c r="AN8" s="37">
        <f t="shared" si="0"/>
        <v>9000</v>
      </c>
      <c r="AO8" s="37">
        <f t="shared" si="1"/>
        <v>180</v>
      </c>
    </row>
    <row r="9" spans="2:41" s="36" customFormat="1" ht="25" customHeight="1" thickBot="1" x14ac:dyDescent="0.4">
      <c r="B9" s="99" t="s">
        <v>37</v>
      </c>
      <c r="C9" s="89" t="s">
        <v>39</v>
      </c>
      <c r="G9" s="97" t="s">
        <v>71</v>
      </c>
      <c r="H9" s="98">
        <f>H3*(C10)</f>
        <v>450</v>
      </c>
      <c r="I9" s="37"/>
      <c r="AJ9" s="36">
        <v>6</v>
      </c>
      <c r="AL9" s="36" t="s">
        <v>39</v>
      </c>
      <c r="AM9" s="96">
        <v>2.5000000000000001E-2</v>
      </c>
      <c r="AN9" s="37">
        <f t="shared" si="0"/>
        <v>9000</v>
      </c>
      <c r="AO9" s="37">
        <f t="shared" si="1"/>
        <v>225</v>
      </c>
    </row>
    <row r="10" spans="2:41" s="36" customFormat="1" ht="25" customHeight="1" thickBot="1" x14ac:dyDescent="0.4">
      <c r="B10" s="100" t="s">
        <v>61</v>
      </c>
      <c r="C10" s="101">
        <v>0.05</v>
      </c>
      <c r="D10" s="102"/>
      <c r="E10" s="102"/>
      <c r="F10" s="102"/>
      <c r="G10" s="103" t="s">
        <v>70</v>
      </c>
      <c r="H10" s="104">
        <f>30/C7</f>
        <v>20</v>
      </c>
      <c r="I10" s="37"/>
      <c r="AJ10" s="36">
        <v>7</v>
      </c>
      <c r="AL10" s="36" t="s">
        <v>42</v>
      </c>
      <c r="AM10" s="36">
        <v>0.03</v>
      </c>
      <c r="AN10" s="37">
        <f t="shared" si="0"/>
        <v>9000</v>
      </c>
      <c r="AO10" s="37">
        <f t="shared" si="1"/>
        <v>270</v>
      </c>
    </row>
    <row r="11" spans="2:41" ht="5" customHeight="1" x14ac:dyDescent="0.4">
      <c r="C11" s="5"/>
      <c r="D11" s="2"/>
      <c r="E11" s="2"/>
      <c r="F11" s="2"/>
      <c r="G11" s="4"/>
      <c r="H11" s="6"/>
      <c r="I11" s="4"/>
      <c r="AJ11" s="1">
        <v>8</v>
      </c>
      <c r="AL11" s="1" t="s">
        <v>44</v>
      </c>
      <c r="AM11" s="12">
        <v>0.04</v>
      </c>
      <c r="AN11" s="4">
        <f t="shared" si="0"/>
        <v>9000</v>
      </c>
      <c r="AO11" s="4">
        <f t="shared" si="1"/>
        <v>360</v>
      </c>
    </row>
    <row r="12" spans="2:41" hidden="1" x14ac:dyDescent="0.4">
      <c r="B12" s="16" t="s">
        <v>32</v>
      </c>
      <c r="C12" s="32" t="s">
        <v>17</v>
      </c>
      <c r="D12" s="17" t="s">
        <v>18</v>
      </c>
      <c r="E12" s="17" t="s">
        <v>76</v>
      </c>
      <c r="F12" s="17" t="s">
        <v>16</v>
      </c>
      <c r="G12" s="17" t="s">
        <v>24</v>
      </c>
      <c r="H12" s="18" t="s">
        <v>25</v>
      </c>
      <c r="AJ12" s="1">
        <v>9</v>
      </c>
    </row>
    <row r="13" spans="2:41" hidden="1" x14ac:dyDescent="0.4">
      <c r="B13" s="19" t="s">
        <v>0</v>
      </c>
      <c r="C13" s="27">
        <f>I33</f>
        <v>46092.288000000008</v>
      </c>
      <c r="D13" s="2">
        <v>0</v>
      </c>
      <c r="E13" s="2">
        <v>0</v>
      </c>
      <c r="F13" s="2">
        <f>C13</f>
        <v>46092.288000000008</v>
      </c>
      <c r="G13" s="4">
        <f t="shared" ref="G13:G21" si="2">F13/$C$6</f>
        <v>768.20480000000009</v>
      </c>
      <c r="H13" s="20">
        <f t="shared" ref="H13:H21" si="3">F13/30</f>
        <v>1536.4096000000002</v>
      </c>
      <c r="I13" s="4">
        <f>G13/30</f>
        <v>25.60682666666667</v>
      </c>
      <c r="AJ13" s="1">
        <v>10</v>
      </c>
    </row>
    <row r="14" spans="2:41" hidden="1" x14ac:dyDescent="0.4">
      <c r="B14" s="19" t="s">
        <v>23</v>
      </c>
      <c r="C14" s="27">
        <f>K33</f>
        <v>3964.9279999999981</v>
      </c>
      <c r="D14" s="2">
        <v>0</v>
      </c>
      <c r="E14" s="2">
        <v>0</v>
      </c>
      <c r="F14" s="2">
        <f>C14</f>
        <v>3964.9279999999981</v>
      </c>
      <c r="G14" s="4">
        <f t="shared" si="2"/>
        <v>66.082133333333303</v>
      </c>
      <c r="H14" s="20">
        <f t="shared" si="3"/>
        <v>132.16426666666661</v>
      </c>
      <c r="I14" s="4">
        <f t="shared" ref="I14:I21" si="4">G14/30</f>
        <v>2.2027377777777768</v>
      </c>
    </row>
    <row r="15" spans="2:41" hidden="1" x14ac:dyDescent="0.4">
      <c r="B15" s="19" t="s">
        <v>28</v>
      </c>
      <c r="C15" s="27">
        <v>50000</v>
      </c>
      <c r="D15" s="2">
        <f t="shared" ref="D15:D21" si="5">C15*$E$5</f>
        <v>1250</v>
      </c>
      <c r="E15" s="2">
        <f t="shared" ref="E15:E21" si="6">C15*$C$10</f>
        <v>2500</v>
      </c>
      <c r="F15" s="2">
        <f>C15+D15+E15</f>
        <v>53750</v>
      </c>
      <c r="G15" s="4">
        <f t="shared" si="2"/>
        <v>895.83333333333337</v>
      </c>
      <c r="H15" s="20">
        <f t="shared" si="3"/>
        <v>1791.6666666666667</v>
      </c>
      <c r="I15" s="4">
        <f t="shared" si="4"/>
        <v>29.861111111111111</v>
      </c>
      <c r="AJ15" s="1">
        <v>1</v>
      </c>
      <c r="AK15" s="4">
        <f t="shared" ref="AK15:AK46" si="7">$H$22</f>
        <v>4000</v>
      </c>
      <c r="AL15" s="4">
        <f>AK15*AJ15</f>
        <v>4000</v>
      </c>
      <c r="AM15" s="1">
        <v>0</v>
      </c>
    </row>
    <row r="16" spans="2:41" hidden="1" x14ac:dyDescent="0.4">
      <c r="B16" s="19" t="s">
        <v>29</v>
      </c>
      <c r="C16" s="27">
        <v>1500</v>
      </c>
      <c r="D16" s="2">
        <f t="shared" si="5"/>
        <v>37.5</v>
      </c>
      <c r="E16" s="2">
        <f t="shared" si="6"/>
        <v>75</v>
      </c>
      <c r="F16" s="2">
        <f t="shared" ref="F16:F21" si="8">C16+D16+E16</f>
        <v>1612.5</v>
      </c>
      <c r="G16" s="4">
        <f t="shared" si="2"/>
        <v>26.875</v>
      </c>
      <c r="H16" s="20">
        <f t="shared" si="3"/>
        <v>53.75</v>
      </c>
      <c r="I16" s="4">
        <f t="shared" si="4"/>
        <v>0.89583333333333337</v>
      </c>
      <c r="AJ16" s="1">
        <v>1.5</v>
      </c>
      <c r="AK16" s="4">
        <f t="shared" si="7"/>
        <v>4000</v>
      </c>
      <c r="AL16" s="4">
        <f t="shared" ref="AL16:AL73" si="9">AK16*AJ16</f>
        <v>6000</v>
      </c>
      <c r="AM16" s="4">
        <f>AL16-AK16</f>
        <v>2000</v>
      </c>
    </row>
    <row r="17" spans="2:41" hidden="1" x14ac:dyDescent="0.4">
      <c r="B17" s="19" t="s">
        <v>30</v>
      </c>
      <c r="C17" s="27">
        <f>28000/12</f>
        <v>2333.3333333333335</v>
      </c>
      <c r="D17" s="2">
        <f t="shared" si="5"/>
        <v>58.333333333333343</v>
      </c>
      <c r="E17" s="2">
        <f t="shared" si="6"/>
        <v>116.66666666666669</v>
      </c>
      <c r="F17" s="2">
        <f t="shared" ref="F17" si="10">C17+D17+E17</f>
        <v>2508.3333333333335</v>
      </c>
      <c r="G17" s="4">
        <f t="shared" si="2"/>
        <v>41.805555555555557</v>
      </c>
      <c r="H17" s="20">
        <f t="shared" si="3"/>
        <v>83.611111111111114</v>
      </c>
      <c r="I17" s="4">
        <f t="shared" si="4"/>
        <v>1.3935185185185186</v>
      </c>
      <c r="AJ17" s="1">
        <f>AJ16+0.5</f>
        <v>2</v>
      </c>
      <c r="AK17" s="4">
        <f t="shared" si="7"/>
        <v>4000</v>
      </c>
      <c r="AL17" s="4">
        <f t="shared" si="9"/>
        <v>8000</v>
      </c>
      <c r="AM17" s="4">
        <f t="shared" ref="AM17:AM73" si="11">AL17-AK17</f>
        <v>4000</v>
      </c>
    </row>
    <row r="18" spans="2:41" hidden="1" x14ac:dyDescent="0.4">
      <c r="B18" s="19" t="s">
        <v>14</v>
      </c>
      <c r="C18" s="27">
        <f>(VLOOKUP(C5,$B$37:$F$46,5,FALSE))/12</f>
        <v>2065.0666666666671</v>
      </c>
      <c r="D18" s="2">
        <f t="shared" si="5"/>
        <v>51.626666666666679</v>
      </c>
      <c r="E18" s="2">
        <f t="shared" si="6"/>
        <v>103.25333333333336</v>
      </c>
      <c r="F18" s="2">
        <f t="shared" si="8"/>
        <v>2219.9466666666672</v>
      </c>
      <c r="G18" s="4">
        <f t="shared" si="2"/>
        <v>36.999111111111119</v>
      </c>
      <c r="H18" s="20">
        <f t="shared" si="3"/>
        <v>73.998222222222239</v>
      </c>
      <c r="I18" s="4">
        <f t="shared" si="4"/>
        <v>1.233303703703704</v>
      </c>
      <c r="K18" s="1" t="s">
        <v>135</v>
      </c>
      <c r="AJ18" s="1">
        <f t="shared" ref="AJ18:AJ73" si="12">AJ17+0.5</f>
        <v>2.5</v>
      </c>
      <c r="AK18" s="4">
        <f t="shared" si="7"/>
        <v>4000</v>
      </c>
      <c r="AL18" s="4">
        <f t="shared" si="9"/>
        <v>10000</v>
      </c>
      <c r="AM18" s="4">
        <f t="shared" si="11"/>
        <v>6000</v>
      </c>
    </row>
    <row r="19" spans="2:41" hidden="1" x14ac:dyDescent="0.4">
      <c r="B19" s="19" t="s">
        <v>47</v>
      </c>
      <c r="C19" s="27">
        <f>VLOOKUP(C5,$B$36:$I$46,8,FALSE)</f>
        <v>8000</v>
      </c>
      <c r="D19" s="2">
        <f t="shared" si="5"/>
        <v>200</v>
      </c>
      <c r="E19" s="2">
        <f t="shared" si="6"/>
        <v>400</v>
      </c>
      <c r="F19" s="2">
        <f t="shared" si="8"/>
        <v>8600</v>
      </c>
      <c r="G19" s="4">
        <f t="shared" si="2"/>
        <v>143.33333333333334</v>
      </c>
      <c r="H19" s="20">
        <f t="shared" si="3"/>
        <v>286.66666666666669</v>
      </c>
      <c r="I19" s="4">
        <f t="shared" si="4"/>
        <v>4.7777777777777777</v>
      </c>
      <c r="AJ19" s="1">
        <f t="shared" si="12"/>
        <v>3</v>
      </c>
      <c r="AK19" s="4">
        <f t="shared" si="7"/>
        <v>4000</v>
      </c>
      <c r="AL19" s="4">
        <f t="shared" si="9"/>
        <v>12000</v>
      </c>
      <c r="AM19" s="4">
        <f t="shared" si="11"/>
        <v>8000</v>
      </c>
    </row>
    <row r="20" spans="2:41" hidden="1" x14ac:dyDescent="0.4">
      <c r="B20" s="19" t="s">
        <v>2</v>
      </c>
      <c r="C20" s="27">
        <f>8000/12</f>
        <v>666.66666666666663</v>
      </c>
      <c r="D20" s="2">
        <f t="shared" si="5"/>
        <v>16.666666666666668</v>
      </c>
      <c r="E20" s="2">
        <f t="shared" si="6"/>
        <v>33.333333333333336</v>
      </c>
      <c r="F20" s="2">
        <f t="shared" si="8"/>
        <v>716.66666666666663</v>
      </c>
      <c r="G20" s="4">
        <f t="shared" si="2"/>
        <v>11.944444444444445</v>
      </c>
      <c r="H20" s="20">
        <f t="shared" si="3"/>
        <v>23.888888888888889</v>
      </c>
      <c r="I20" s="4">
        <f t="shared" si="4"/>
        <v>0.39814814814814814</v>
      </c>
      <c r="K20" s="1" t="s">
        <v>135</v>
      </c>
      <c r="AJ20" s="1">
        <f t="shared" si="12"/>
        <v>3.5</v>
      </c>
      <c r="AK20" s="4">
        <f t="shared" si="7"/>
        <v>4000</v>
      </c>
      <c r="AL20" s="4">
        <f t="shared" si="9"/>
        <v>14000</v>
      </c>
      <c r="AM20" s="4">
        <f t="shared" si="11"/>
        <v>10000</v>
      </c>
    </row>
    <row r="21" spans="2:41" hidden="1" x14ac:dyDescent="0.4">
      <c r="B21" s="19" t="s">
        <v>11</v>
      </c>
      <c r="C21" s="27">
        <v>2000</v>
      </c>
      <c r="D21" s="2">
        <f t="shared" si="5"/>
        <v>50</v>
      </c>
      <c r="E21" s="2">
        <f t="shared" si="6"/>
        <v>100</v>
      </c>
      <c r="F21" s="2">
        <f t="shared" si="8"/>
        <v>2150</v>
      </c>
      <c r="G21" s="4">
        <f t="shared" si="2"/>
        <v>35.833333333333336</v>
      </c>
      <c r="H21" s="20">
        <f t="shared" si="3"/>
        <v>71.666666666666671</v>
      </c>
      <c r="I21" s="4">
        <f t="shared" si="4"/>
        <v>1.1944444444444444</v>
      </c>
      <c r="AJ21" s="1">
        <f t="shared" si="12"/>
        <v>4</v>
      </c>
      <c r="AK21" s="4">
        <f t="shared" si="7"/>
        <v>4000</v>
      </c>
      <c r="AL21" s="4">
        <f t="shared" si="9"/>
        <v>16000</v>
      </c>
      <c r="AM21" s="4">
        <f t="shared" si="11"/>
        <v>12000</v>
      </c>
    </row>
    <row r="22" spans="2:41" ht="15.5" hidden="1" thickBot="1" x14ac:dyDescent="0.45">
      <c r="B22" s="28"/>
      <c r="C22" s="33">
        <f>SUM(C13:C21)/12</f>
        <v>9718.5235555555573</v>
      </c>
      <c r="D22" s="21">
        <f>SUM(D13:D21)</f>
        <v>1664.1266666666668</v>
      </c>
      <c r="E22" s="21">
        <f>SUM(E13:E21)</f>
        <v>3328.2533333333336</v>
      </c>
      <c r="F22" s="21">
        <f>SUM(F13:F21)</f>
        <v>121614.66266666669</v>
      </c>
      <c r="G22" s="22">
        <f>SUM(G13:G21)</f>
        <v>2026.9110444444445</v>
      </c>
      <c r="H22" s="23">
        <f>ROUNDDOWN((F22/30)/100,0)*100</f>
        <v>4000</v>
      </c>
      <c r="I22" s="22">
        <f>SUM(I13:I21)</f>
        <v>67.563701481481488</v>
      </c>
      <c r="K22" s="4"/>
      <c r="AJ22" s="1">
        <f t="shared" si="12"/>
        <v>4.5</v>
      </c>
      <c r="AK22" s="4">
        <f t="shared" si="7"/>
        <v>4000</v>
      </c>
      <c r="AL22" s="4">
        <f t="shared" si="9"/>
        <v>18000</v>
      </c>
      <c r="AM22" s="4">
        <f t="shared" si="11"/>
        <v>14000</v>
      </c>
    </row>
    <row r="23" spans="2:41" ht="5" hidden="1" customHeight="1" thickBot="1" x14ac:dyDescent="0.45">
      <c r="B23" s="19"/>
      <c r="C23" s="5"/>
      <c r="D23" s="2"/>
      <c r="E23" s="2"/>
      <c r="F23" s="2"/>
      <c r="G23" s="4"/>
      <c r="H23" s="24"/>
      <c r="I23" s="4"/>
      <c r="AJ23" s="1">
        <f t="shared" si="12"/>
        <v>5</v>
      </c>
      <c r="AK23" s="4">
        <f t="shared" si="7"/>
        <v>4000</v>
      </c>
      <c r="AL23" s="4">
        <f t="shared" si="9"/>
        <v>20000</v>
      </c>
      <c r="AM23" s="4">
        <f t="shared" si="11"/>
        <v>16000</v>
      </c>
    </row>
    <row r="24" spans="2:41" hidden="1" x14ac:dyDescent="0.4">
      <c r="B24" s="16" t="s">
        <v>31</v>
      </c>
      <c r="C24" s="18" t="s">
        <v>24</v>
      </c>
      <c r="D24" s="25"/>
      <c r="E24" s="25"/>
      <c r="F24" s="25"/>
      <c r="G24" s="25" t="s">
        <v>24</v>
      </c>
      <c r="H24" s="26" t="s">
        <v>33</v>
      </c>
      <c r="L24" s="4"/>
      <c r="AJ24" s="1">
        <f t="shared" si="12"/>
        <v>5.5</v>
      </c>
      <c r="AK24" s="4">
        <f t="shared" si="7"/>
        <v>4000</v>
      </c>
      <c r="AL24" s="4">
        <f t="shared" si="9"/>
        <v>22000</v>
      </c>
      <c r="AM24" s="4">
        <f t="shared" si="11"/>
        <v>18000</v>
      </c>
    </row>
    <row r="25" spans="2:41" hidden="1" x14ac:dyDescent="0.4">
      <c r="B25" s="19" t="s">
        <v>3</v>
      </c>
      <c r="C25" s="20">
        <f>VLOOKUP(C8,$B$54:$C$55,2,FALSE)</f>
        <v>33.571428571428577</v>
      </c>
      <c r="D25" s="4">
        <f>C25*$E$5</f>
        <v>0.83928571428571441</v>
      </c>
      <c r="E25" s="4">
        <f>C25*$C$10</f>
        <v>1.6785714285714288</v>
      </c>
      <c r="F25" s="4">
        <f>C25+D25+E25</f>
        <v>36.089285714285722</v>
      </c>
      <c r="G25" s="4">
        <f>F25</f>
        <v>36.089285714285722</v>
      </c>
      <c r="H25" s="27">
        <f>F25*$C$6</f>
        <v>2165.3571428571431</v>
      </c>
      <c r="I25" s="4">
        <f>G25</f>
        <v>36.089285714285722</v>
      </c>
      <c r="AJ25" s="1">
        <f t="shared" si="12"/>
        <v>6</v>
      </c>
      <c r="AK25" s="4">
        <f t="shared" si="7"/>
        <v>4000</v>
      </c>
      <c r="AL25" s="4">
        <f t="shared" si="9"/>
        <v>24000</v>
      </c>
      <c r="AM25" s="4">
        <f t="shared" si="11"/>
        <v>20000</v>
      </c>
    </row>
    <row r="26" spans="2:41" hidden="1" x14ac:dyDescent="0.4">
      <c r="B26" s="19" t="s">
        <v>4</v>
      </c>
      <c r="C26" s="20">
        <f>5</f>
        <v>5</v>
      </c>
      <c r="D26" s="4">
        <f>C26*$E$5</f>
        <v>0.125</v>
      </c>
      <c r="E26" s="4">
        <f>C26*$C$10</f>
        <v>0.25</v>
      </c>
      <c r="F26" s="4">
        <f t="shared" ref="F26:F28" si="13">C26+D26+E26</f>
        <v>5.375</v>
      </c>
      <c r="G26" s="4">
        <f>F26</f>
        <v>5.375</v>
      </c>
      <c r="H26" s="27">
        <f>F26*$C$6</f>
        <v>322.5</v>
      </c>
      <c r="I26" s="4">
        <f>G26</f>
        <v>5.375</v>
      </c>
      <c r="L26" s="44"/>
      <c r="AJ26" s="1">
        <f>AJ25+0.5</f>
        <v>6.5</v>
      </c>
      <c r="AK26" s="4">
        <f t="shared" si="7"/>
        <v>4000</v>
      </c>
      <c r="AL26" s="4">
        <f t="shared" si="9"/>
        <v>26000</v>
      </c>
      <c r="AM26" s="4">
        <f t="shared" si="11"/>
        <v>22000</v>
      </c>
    </row>
    <row r="27" spans="2:41" hidden="1" x14ac:dyDescent="0.4">
      <c r="B27" s="19" t="s">
        <v>5</v>
      </c>
      <c r="C27" s="20">
        <f>VLOOKUP(C5,$B$37:$H$46,7,FALSE)</f>
        <v>1.35</v>
      </c>
      <c r="D27" s="4">
        <f>C27*$E$5</f>
        <v>3.3750000000000002E-2</v>
      </c>
      <c r="E27" s="4">
        <f>C27*$C$10</f>
        <v>6.7500000000000004E-2</v>
      </c>
      <c r="F27" s="4">
        <f t="shared" si="13"/>
        <v>1.4512499999999999</v>
      </c>
      <c r="G27" s="4">
        <f>F27</f>
        <v>1.4512499999999999</v>
      </c>
      <c r="H27" s="27">
        <f>F27*$C$6</f>
        <v>87.074999999999989</v>
      </c>
      <c r="I27" s="4">
        <f>G27</f>
        <v>1.4512499999999999</v>
      </c>
      <c r="K27" s="1" t="s">
        <v>135</v>
      </c>
      <c r="AJ27" s="1">
        <f t="shared" si="12"/>
        <v>7</v>
      </c>
      <c r="AK27" s="4">
        <f t="shared" si="7"/>
        <v>4000</v>
      </c>
      <c r="AL27" s="4">
        <f t="shared" si="9"/>
        <v>28000</v>
      </c>
      <c r="AM27" s="4">
        <f t="shared" si="11"/>
        <v>24000</v>
      </c>
    </row>
    <row r="28" spans="2:41" hidden="1" x14ac:dyDescent="0.4">
      <c r="B28" s="19" t="s">
        <v>6</v>
      </c>
      <c r="C28" s="20">
        <v>8</v>
      </c>
      <c r="D28" s="4">
        <f>C28*$E$5</f>
        <v>0.2</v>
      </c>
      <c r="E28" s="4">
        <f>C28*$C$10</f>
        <v>0.4</v>
      </c>
      <c r="F28" s="4">
        <f t="shared" si="13"/>
        <v>8.6</v>
      </c>
      <c r="G28" s="4">
        <f>F28</f>
        <v>8.6</v>
      </c>
      <c r="H28" s="27">
        <f>F28*$C$6</f>
        <v>516</v>
      </c>
      <c r="I28" s="4">
        <f>G28</f>
        <v>8.6</v>
      </c>
      <c r="K28" s="1" t="s">
        <v>135</v>
      </c>
      <c r="AJ28" s="1">
        <f t="shared" si="12"/>
        <v>7.5</v>
      </c>
      <c r="AK28" s="4">
        <f t="shared" si="7"/>
        <v>4000</v>
      </c>
      <c r="AL28" s="4">
        <f t="shared" si="9"/>
        <v>30000</v>
      </c>
      <c r="AM28" s="4">
        <f t="shared" si="11"/>
        <v>26000</v>
      </c>
    </row>
    <row r="29" spans="2:41" ht="15.5" hidden="1" thickBot="1" x14ac:dyDescent="0.45">
      <c r="B29" s="28"/>
      <c r="C29" s="31">
        <f>C28+C27+C26+C53</f>
        <v>47.921428571428578</v>
      </c>
      <c r="D29" s="30">
        <f>C29*$E$5</f>
        <v>1.1980357142857145</v>
      </c>
      <c r="E29" s="30">
        <f>C29*$C$10</f>
        <v>2.3960714285714291</v>
      </c>
      <c r="F29" s="29">
        <f>F28+F27+F26+F25</f>
        <v>51.515535714285718</v>
      </c>
      <c r="G29" s="29">
        <f>F29</f>
        <v>51.515535714285718</v>
      </c>
      <c r="H29" s="31">
        <f>ROUNDDOWN((F29*C6)/100,0)*100</f>
        <v>3000</v>
      </c>
      <c r="I29" s="22">
        <f>SUM(I20:I28)</f>
        <v>120.6718297883598</v>
      </c>
      <c r="AJ29" s="1">
        <f t="shared" si="12"/>
        <v>8</v>
      </c>
      <c r="AK29" s="4">
        <f t="shared" si="7"/>
        <v>4000</v>
      </c>
      <c r="AL29" s="4">
        <f t="shared" si="9"/>
        <v>32000</v>
      </c>
      <c r="AM29" s="4">
        <f t="shared" si="11"/>
        <v>28000</v>
      </c>
    </row>
    <row r="30" spans="2:41" hidden="1" x14ac:dyDescent="0.4">
      <c r="C30" s="4"/>
      <c r="D30" s="2"/>
      <c r="E30" s="2"/>
      <c r="I30" s="4">
        <f>I29+I22</f>
        <v>188.23553126984129</v>
      </c>
      <c r="AJ30" s="1">
        <f t="shared" si="12"/>
        <v>8.5</v>
      </c>
      <c r="AK30" s="4">
        <f t="shared" si="7"/>
        <v>4000</v>
      </c>
      <c r="AL30" s="4">
        <f t="shared" si="9"/>
        <v>34000</v>
      </c>
      <c r="AM30" s="4">
        <f t="shared" si="11"/>
        <v>30000</v>
      </c>
    </row>
    <row r="31" spans="2:41" hidden="1" x14ac:dyDescent="0.4">
      <c r="C31" s="4"/>
      <c r="D31" s="2"/>
      <c r="E31" s="2"/>
      <c r="AJ31" s="1">
        <f t="shared" si="12"/>
        <v>9</v>
      </c>
      <c r="AK31" s="4">
        <f t="shared" si="7"/>
        <v>4000</v>
      </c>
      <c r="AL31" s="4">
        <f t="shared" si="9"/>
        <v>36000</v>
      </c>
      <c r="AM31" s="4">
        <f t="shared" si="11"/>
        <v>32000</v>
      </c>
      <c r="AN31" s="7"/>
      <c r="AO31" s="7"/>
    </row>
    <row r="32" spans="2:41" s="7" customFormat="1" ht="45" hidden="1" x14ac:dyDescent="0.4">
      <c r="B32" s="7" t="s">
        <v>10</v>
      </c>
      <c r="C32" s="7" t="s">
        <v>12</v>
      </c>
      <c r="D32" s="7" t="s">
        <v>13</v>
      </c>
      <c r="E32" s="7" t="s">
        <v>15</v>
      </c>
      <c r="F32" s="7" t="s">
        <v>7</v>
      </c>
      <c r="G32" s="7" t="s">
        <v>8</v>
      </c>
      <c r="H32" s="7" t="s">
        <v>9</v>
      </c>
      <c r="I32" s="7" t="s">
        <v>0</v>
      </c>
      <c r="K32" s="7" t="s">
        <v>1</v>
      </c>
      <c r="AJ32" s="1">
        <f t="shared" si="12"/>
        <v>9.5</v>
      </c>
      <c r="AK32" s="4">
        <f t="shared" si="7"/>
        <v>4000</v>
      </c>
      <c r="AL32" s="4">
        <f t="shared" si="9"/>
        <v>38000</v>
      </c>
      <c r="AM32" s="4">
        <f t="shared" si="11"/>
        <v>34000</v>
      </c>
      <c r="AN32" s="1"/>
      <c r="AO32" s="1"/>
    </row>
    <row r="33" spans="2:41" hidden="1" x14ac:dyDescent="0.4">
      <c r="B33" s="2">
        <f>VLOOKUP(C4,$B$49:$F$52,3,FALSE)</f>
        <v>3460000</v>
      </c>
      <c r="C33" s="2">
        <f>VLOOKUP(C4,$B$48:$E$52,4,FALSE)</f>
        <v>1380000</v>
      </c>
      <c r="D33" s="2">
        <f>D4</f>
        <v>1982464</v>
      </c>
      <c r="E33" s="2">
        <f>D33-F33</f>
        <v>198246.39999999991</v>
      </c>
      <c r="F33" s="2">
        <f>D33*90%</f>
        <v>1784217.6000000001</v>
      </c>
      <c r="G33" s="2">
        <f>(F33*11%*5)</f>
        <v>981319.68000000005</v>
      </c>
      <c r="H33" s="2">
        <f>F33+G33</f>
        <v>2765537.2800000003</v>
      </c>
      <c r="I33" s="2">
        <f>H33/60</f>
        <v>46092.288000000008</v>
      </c>
      <c r="J33" s="2">
        <f>(E33*2%*60)</f>
        <v>237895.67999999988</v>
      </c>
      <c r="K33" s="2">
        <f>J33/60</f>
        <v>3964.9279999999981</v>
      </c>
      <c r="L33" s="2">
        <f>I33+K33</f>
        <v>50057.216000000008</v>
      </c>
      <c r="AJ33" s="1">
        <f t="shared" si="12"/>
        <v>10</v>
      </c>
      <c r="AK33" s="4">
        <f t="shared" si="7"/>
        <v>4000</v>
      </c>
      <c r="AL33" s="4">
        <f t="shared" si="9"/>
        <v>40000</v>
      </c>
      <c r="AM33" s="4">
        <f t="shared" si="11"/>
        <v>36000</v>
      </c>
    </row>
    <row r="34" spans="2:41" hidden="1" x14ac:dyDescent="0.4">
      <c r="C34" s="4"/>
      <c r="D34" s="2"/>
      <c r="E34" s="2"/>
      <c r="AJ34" s="1">
        <f t="shared" si="12"/>
        <v>10.5</v>
      </c>
      <c r="AK34" s="4">
        <f t="shared" si="7"/>
        <v>4000</v>
      </c>
      <c r="AL34" s="4">
        <f t="shared" si="9"/>
        <v>42000</v>
      </c>
      <c r="AM34" s="4">
        <f t="shared" si="11"/>
        <v>38000</v>
      </c>
    </row>
    <row r="35" spans="2:41" hidden="1" x14ac:dyDescent="0.4">
      <c r="C35" s="4"/>
      <c r="D35" s="2"/>
      <c r="E35" s="2"/>
      <c r="AJ35" s="1">
        <f t="shared" si="12"/>
        <v>11</v>
      </c>
      <c r="AK35" s="4">
        <f t="shared" si="7"/>
        <v>4000</v>
      </c>
      <c r="AL35" s="4">
        <f t="shared" si="9"/>
        <v>44000</v>
      </c>
      <c r="AM35" s="4">
        <f t="shared" si="11"/>
        <v>40000</v>
      </c>
      <c r="AN35" s="8"/>
      <c r="AO35" s="8"/>
    </row>
    <row r="36" spans="2:41" s="7" customFormat="1" ht="30" hidden="1" x14ac:dyDescent="0.35">
      <c r="B36" s="35" t="s">
        <v>26</v>
      </c>
      <c r="C36" s="35" t="s">
        <v>21</v>
      </c>
      <c r="D36" s="35" t="s">
        <v>20</v>
      </c>
      <c r="E36" s="35" t="s">
        <v>27</v>
      </c>
      <c r="F36" s="35" t="s">
        <v>14</v>
      </c>
      <c r="G36" s="35" t="s">
        <v>19</v>
      </c>
      <c r="H36" s="35" t="s">
        <v>22</v>
      </c>
      <c r="I36" s="35" t="s">
        <v>36</v>
      </c>
      <c r="J36" s="35" t="s">
        <v>64</v>
      </c>
      <c r="K36" s="35" t="s">
        <v>65</v>
      </c>
      <c r="L36" s="35" t="s">
        <v>66</v>
      </c>
      <c r="AJ36" s="36">
        <f t="shared" si="12"/>
        <v>11.5</v>
      </c>
      <c r="AK36" s="37">
        <f t="shared" si="7"/>
        <v>4000</v>
      </c>
      <c r="AL36" s="37">
        <f t="shared" si="9"/>
        <v>46000</v>
      </c>
      <c r="AM36" s="37">
        <f t="shared" si="11"/>
        <v>42000</v>
      </c>
      <c r="AN36" s="36"/>
      <c r="AO36" s="36"/>
    </row>
    <row r="37" spans="2:41" hidden="1" x14ac:dyDescent="0.4">
      <c r="B37" s="9">
        <v>1</v>
      </c>
      <c r="C37" s="3">
        <f>D37*E37</f>
        <v>968000</v>
      </c>
      <c r="D37" s="10">
        <f>B33+C33</f>
        <v>4840000</v>
      </c>
      <c r="E37" s="11">
        <v>0.2</v>
      </c>
      <c r="F37" s="3">
        <f>D37*1.25%</f>
        <v>60500</v>
      </c>
      <c r="G37" s="3">
        <v>3</v>
      </c>
      <c r="H37" s="3">
        <f>H38*(1-5%)</f>
        <v>1.0995834374999998</v>
      </c>
      <c r="I37" s="10">
        <v>0</v>
      </c>
      <c r="J37" s="3">
        <f>G37-0.1</f>
        <v>2.9</v>
      </c>
      <c r="K37" s="3">
        <f>G37</f>
        <v>3</v>
      </c>
      <c r="L37" s="3">
        <f>(G37+J37)/2</f>
        <v>2.95</v>
      </c>
      <c r="N37" s="15">
        <f>(K37-J37)/K37</f>
        <v>3.3333333333333361E-2</v>
      </c>
      <c r="AJ37" s="1">
        <f t="shared" si="12"/>
        <v>12</v>
      </c>
      <c r="AK37" s="4">
        <f t="shared" si="7"/>
        <v>4000</v>
      </c>
      <c r="AL37" s="4">
        <f t="shared" si="9"/>
        <v>48000</v>
      </c>
      <c r="AM37" s="4">
        <f t="shared" si="11"/>
        <v>44000</v>
      </c>
    </row>
    <row r="38" spans="2:41" hidden="1" x14ac:dyDescent="0.4">
      <c r="B38" s="9">
        <v>2</v>
      </c>
      <c r="C38" s="3">
        <f>($D$37-C37)*$E$37</f>
        <v>774400</v>
      </c>
      <c r="D38" s="10">
        <f t="shared" ref="D38:D46" si="14">D37-C37</f>
        <v>3872000</v>
      </c>
      <c r="E38" s="11">
        <v>0.2</v>
      </c>
      <c r="F38" s="3">
        <f t="shared" ref="F38:F43" si="15">D38*1.25%</f>
        <v>48400</v>
      </c>
      <c r="G38" s="3">
        <v>2.9</v>
      </c>
      <c r="H38" s="3">
        <f>H39*(1-5%)</f>
        <v>1.1574562499999999</v>
      </c>
      <c r="I38" s="10">
        <v>5000</v>
      </c>
      <c r="J38" s="3">
        <f t="shared" ref="J38:J46" si="16">G38-0.1</f>
        <v>2.8</v>
      </c>
      <c r="K38" s="3">
        <f t="shared" ref="K38:K46" si="17">G38</f>
        <v>2.9</v>
      </c>
      <c r="L38" s="3">
        <f t="shared" ref="L38:L46" si="18">(G38+J38)/2</f>
        <v>2.8499999999999996</v>
      </c>
      <c r="N38" s="4">
        <f>K37*(1-N37)</f>
        <v>2.9</v>
      </c>
      <c r="AJ38" s="1">
        <f t="shared" si="12"/>
        <v>12.5</v>
      </c>
      <c r="AK38" s="4">
        <f t="shared" si="7"/>
        <v>4000</v>
      </c>
      <c r="AL38" s="4">
        <f t="shared" si="9"/>
        <v>50000</v>
      </c>
      <c r="AM38" s="4">
        <f t="shared" si="11"/>
        <v>46000</v>
      </c>
    </row>
    <row r="39" spans="2:41" hidden="1" x14ac:dyDescent="0.4">
      <c r="B39" s="9">
        <v>3</v>
      </c>
      <c r="C39" s="3">
        <f>($D$37-C38-C37)*$E$37</f>
        <v>619520</v>
      </c>
      <c r="D39" s="10">
        <f t="shared" si="14"/>
        <v>3097600</v>
      </c>
      <c r="E39" s="11">
        <v>0.2</v>
      </c>
      <c r="F39" s="3">
        <f t="shared" si="15"/>
        <v>38720</v>
      </c>
      <c r="G39" s="3">
        <v>2.8</v>
      </c>
      <c r="H39" s="3">
        <f>H40*(1-5%)</f>
        <v>1.218375</v>
      </c>
      <c r="I39" s="10">
        <f t="shared" ref="I39:I43" si="19">I38+1000</f>
        <v>6000</v>
      </c>
      <c r="J39" s="3">
        <f t="shared" si="16"/>
        <v>2.6999999999999997</v>
      </c>
      <c r="K39" s="3">
        <f t="shared" si="17"/>
        <v>2.8</v>
      </c>
      <c r="L39" s="3">
        <f t="shared" si="18"/>
        <v>2.75</v>
      </c>
      <c r="AJ39" s="1">
        <f t="shared" si="12"/>
        <v>13</v>
      </c>
      <c r="AK39" s="4">
        <f t="shared" si="7"/>
        <v>4000</v>
      </c>
      <c r="AL39" s="4">
        <f t="shared" si="9"/>
        <v>52000</v>
      </c>
      <c r="AM39" s="4">
        <f t="shared" si="11"/>
        <v>48000</v>
      </c>
    </row>
    <row r="40" spans="2:41" hidden="1" x14ac:dyDescent="0.4">
      <c r="B40" s="9">
        <v>4</v>
      </c>
      <c r="C40" s="3">
        <f>($D$37-C39-C38-C37)*$E$37</f>
        <v>495616</v>
      </c>
      <c r="D40" s="10">
        <f t="shared" si="14"/>
        <v>2478080</v>
      </c>
      <c r="E40" s="11">
        <v>0.2</v>
      </c>
      <c r="F40" s="3">
        <f t="shared" si="15"/>
        <v>30976</v>
      </c>
      <c r="G40" s="3">
        <v>2.8</v>
      </c>
      <c r="H40" s="3">
        <f>H41*(1-5%)</f>
        <v>1.2825</v>
      </c>
      <c r="I40" s="10">
        <f t="shared" si="19"/>
        <v>7000</v>
      </c>
      <c r="J40" s="3">
        <f t="shared" si="16"/>
        <v>2.6999999999999997</v>
      </c>
      <c r="K40" s="3">
        <f t="shared" si="17"/>
        <v>2.8</v>
      </c>
      <c r="L40" s="3">
        <f t="shared" si="18"/>
        <v>2.75</v>
      </c>
      <c r="AJ40" s="1">
        <f t="shared" si="12"/>
        <v>13.5</v>
      </c>
      <c r="AK40" s="4">
        <f t="shared" si="7"/>
        <v>4000</v>
      </c>
      <c r="AL40" s="4">
        <f t="shared" si="9"/>
        <v>54000</v>
      </c>
      <c r="AM40" s="4">
        <f t="shared" si="11"/>
        <v>50000</v>
      </c>
    </row>
    <row r="41" spans="2:41" hidden="1" x14ac:dyDescent="0.4">
      <c r="B41" s="9">
        <v>5</v>
      </c>
      <c r="C41" s="3">
        <f>($D$37-C40-C39-C38-C37)*$E$37</f>
        <v>396492.80000000005</v>
      </c>
      <c r="D41" s="10">
        <f t="shared" si="14"/>
        <v>1982464</v>
      </c>
      <c r="E41" s="11">
        <v>0.2</v>
      </c>
      <c r="F41" s="3">
        <f t="shared" si="15"/>
        <v>24780.800000000003</v>
      </c>
      <c r="G41" s="3">
        <v>2.8</v>
      </c>
      <c r="H41" s="3">
        <v>1.35</v>
      </c>
      <c r="I41" s="10">
        <f t="shared" si="19"/>
        <v>8000</v>
      </c>
      <c r="J41" s="3">
        <f t="shared" si="16"/>
        <v>2.6999999999999997</v>
      </c>
      <c r="K41" s="3">
        <f t="shared" si="17"/>
        <v>2.8</v>
      </c>
      <c r="L41" s="3">
        <f t="shared" si="18"/>
        <v>2.75</v>
      </c>
      <c r="AJ41" s="1">
        <f t="shared" si="12"/>
        <v>14</v>
      </c>
      <c r="AK41" s="4">
        <f t="shared" si="7"/>
        <v>4000</v>
      </c>
      <c r="AL41" s="4">
        <f t="shared" si="9"/>
        <v>56000</v>
      </c>
      <c r="AM41" s="4">
        <f t="shared" si="11"/>
        <v>52000</v>
      </c>
    </row>
    <row r="42" spans="2:41" hidden="1" x14ac:dyDescent="0.4">
      <c r="B42" s="9">
        <v>6</v>
      </c>
      <c r="C42" s="3">
        <f>($D$37-C41-C40-C39-C38-C37)*$E$37</f>
        <v>317194.24000000005</v>
      </c>
      <c r="D42" s="10">
        <f t="shared" si="14"/>
        <v>1585971.2</v>
      </c>
      <c r="E42" s="11">
        <v>0.2</v>
      </c>
      <c r="F42" s="3">
        <f t="shared" si="15"/>
        <v>19824.64</v>
      </c>
      <c r="G42" s="3">
        <v>2.7</v>
      </c>
      <c r="H42" s="3">
        <f>H41*(1+5%)</f>
        <v>1.4175000000000002</v>
      </c>
      <c r="I42" s="10">
        <f t="shared" si="19"/>
        <v>9000</v>
      </c>
      <c r="J42" s="3">
        <f t="shared" si="16"/>
        <v>2.6</v>
      </c>
      <c r="K42" s="3">
        <f t="shared" si="17"/>
        <v>2.7</v>
      </c>
      <c r="L42" s="3">
        <f t="shared" si="18"/>
        <v>2.6500000000000004</v>
      </c>
      <c r="AJ42" s="1">
        <f t="shared" si="12"/>
        <v>14.5</v>
      </c>
      <c r="AK42" s="4">
        <f t="shared" si="7"/>
        <v>4000</v>
      </c>
      <c r="AL42" s="4">
        <f t="shared" si="9"/>
        <v>58000</v>
      </c>
      <c r="AM42" s="4">
        <f t="shared" si="11"/>
        <v>54000</v>
      </c>
    </row>
    <row r="43" spans="2:41" hidden="1" x14ac:dyDescent="0.4">
      <c r="B43" s="9">
        <v>7</v>
      </c>
      <c r="C43" s="3">
        <f>($D$37-C42-C41-C40-C39-C38-C37)*$E$37</f>
        <v>253755.39199999999</v>
      </c>
      <c r="D43" s="10">
        <f t="shared" si="14"/>
        <v>1268776.96</v>
      </c>
      <c r="E43" s="11">
        <v>0.2</v>
      </c>
      <c r="F43" s="3">
        <f t="shared" si="15"/>
        <v>15859.712</v>
      </c>
      <c r="G43" s="3">
        <v>2.7</v>
      </c>
      <c r="H43" s="3">
        <f>H42*(1+5%)</f>
        <v>1.4883750000000002</v>
      </c>
      <c r="I43" s="10">
        <f t="shared" si="19"/>
        <v>10000</v>
      </c>
      <c r="J43" s="3">
        <f t="shared" si="16"/>
        <v>2.6</v>
      </c>
      <c r="K43" s="3">
        <f t="shared" si="17"/>
        <v>2.7</v>
      </c>
      <c r="L43" s="3">
        <f t="shared" si="18"/>
        <v>2.6500000000000004</v>
      </c>
      <c r="AJ43" s="1">
        <f t="shared" si="12"/>
        <v>15</v>
      </c>
      <c r="AK43" s="4">
        <f t="shared" si="7"/>
        <v>4000</v>
      </c>
      <c r="AL43" s="4">
        <f t="shared" si="9"/>
        <v>60000</v>
      </c>
      <c r="AM43" s="4">
        <f t="shared" si="11"/>
        <v>56000</v>
      </c>
    </row>
    <row r="44" spans="2:41" hidden="1" x14ac:dyDescent="0.4">
      <c r="B44" s="9">
        <v>8</v>
      </c>
      <c r="C44" s="3">
        <f>($D$37-C43-C42-C41-C40-C39-C38-C37)*$E$37</f>
        <v>203004.31359999999</v>
      </c>
      <c r="D44" s="10">
        <f t="shared" si="14"/>
        <v>1015021.568</v>
      </c>
      <c r="E44" s="11">
        <v>0.2</v>
      </c>
      <c r="F44" s="3">
        <f t="shared" ref="F44:F46" si="20">D44*1.25%</f>
        <v>12687.7696</v>
      </c>
      <c r="G44" s="3">
        <v>2.6</v>
      </c>
      <c r="H44" s="3">
        <f>H43*(1+5%)</f>
        <v>1.5627937500000002</v>
      </c>
      <c r="I44" s="10">
        <f t="shared" ref="I44:I46" si="21">I43+1000</f>
        <v>11000</v>
      </c>
      <c r="J44" s="3">
        <f t="shared" si="16"/>
        <v>2.5</v>
      </c>
      <c r="K44" s="3">
        <f t="shared" si="17"/>
        <v>2.6</v>
      </c>
      <c r="L44" s="3">
        <f t="shared" si="18"/>
        <v>2.5499999999999998</v>
      </c>
      <c r="AJ44" s="1">
        <f t="shared" si="12"/>
        <v>15.5</v>
      </c>
      <c r="AK44" s="4">
        <f t="shared" si="7"/>
        <v>4000</v>
      </c>
      <c r="AL44" s="4">
        <f t="shared" si="9"/>
        <v>62000</v>
      </c>
      <c r="AM44" s="4">
        <f t="shared" si="11"/>
        <v>58000</v>
      </c>
    </row>
    <row r="45" spans="2:41" hidden="1" x14ac:dyDescent="0.4">
      <c r="B45" s="9">
        <v>9</v>
      </c>
      <c r="C45" s="3">
        <f>($D$37-C44-C43-C42-C41-C40-C39-C38-C37)*$E$37</f>
        <v>162403.45088000002</v>
      </c>
      <c r="D45" s="10">
        <f t="shared" si="14"/>
        <v>812017.25439999998</v>
      </c>
      <c r="E45" s="11">
        <v>0.2</v>
      </c>
      <c r="F45" s="3">
        <f t="shared" si="20"/>
        <v>10150.215680000001</v>
      </c>
      <c r="G45" s="3">
        <v>2.6</v>
      </c>
      <c r="H45" s="3">
        <f>H44*(1+5%)</f>
        <v>1.6409334375000002</v>
      </c>
      <c r="I45" s="10">
        <f t="shared" si="21"/>
        <v>12000</v>
      </c>
      <c r="J45" s="3">
        <f t="shared" si="16"/>
        <v>2.5</v>
      </c>
      <c r="K45" s="3">
        <f t="shared" si="17"/>
        <v>2.6</v>
      </c>
      <c r="L45" s="3">
        <f t="shared" si="18"/>
        <v>2.5499999999999998</v>
      </c>
      <c r="AJ45" s="1">
        <f t="shared" si="12"/>
        <v>16</v>
      </c>
      <c r="AK45" s="4">
        <f t="shared" si="7"/>
        <v>4000</v>
      </c>
      <c r="AL45" s="4">
        <f t="shared" si="9"/>
        <v>64000</v>
      </c>
      <c r="AM45" s="4">
        <f t="shared" si="11"/>
        <v>60000</v>
      </c>
    </row>
    <row r="46" spans="2:41" hidden="1" x14ac:dyDescent="0.4">
      <c r="B46" s="9">
        <v>10</v>
      </c>
      <c r="C46" s="3">
        <f>($D$37-C45-C44-C43-C42-C41-C40-C39-C38-C37)*$E$37</f>
        <v>129922.76070399993</v>
      </c>
      <c r="D46" s="10">
        <f t="shared" si="14"/>
        <v>649613.80351999996</v>
      </c>
      <c r="E46" s="11">
        <v>0.2</v>
      </c>
      <c r="F46" s="3">
        <f t="shared" si="20"/>
        <v>8120.172544</v>
      </c>
      <c r="G46" s="3">
        <v>2.5</v>
      </c>
      <c r="H46" s="3">
        <f>H45*(1+5%)</f>
        <v>1.7229801093750003</v>
      </c>
      <c r="I46" s="10">
        <f t="shared" si="21"/>
        <v>13000</v>
      </c>
      <c r="J46" s="3">
        <f t="shared" si="16"/>
        <v>2.4</v>
      </c>
      <c r="K46" s="3">
        <f t="shared" si="17"/>
        <v>2.5</v>
      </c>
      <c r="L46" s="3">
        <f t="shared" si="18"/>
        <v>2.4500000000000002</v>
      </c>
      <c r="AJ46" s="1">
        <f t="shared" si="12"/>
        <v>16.5</v>
      </c>
      <c r="AK46" s="4">
        <f t="shared" si="7"/>
        <v>4000</v>
      </c>
      <c r="AL46" s="4">
        <f t="shared" si="9"/>
        <v>66000</v>
      </c>
      <c r="AM46" s="4">
        <f t="shared" si="11"/>
        <v>62000</v>
      </c>
    </row>
    <row r="47" spans="2:41" hidden="1" x14ac:dyDescent="0.4">
      <c r="AJ47" s="1">
        <f t="shared" si="12"/>
        <v>17</v>
      </c>
      <c r="AK47" s="4">
        <f t="shared" ref="AK47:AK73" si="22">$H$22</f>
        <v>4000</v>
      </c>
      <c r="AL47" s="4">
        <f t="shared" si="9"/>
        <v>68000</v>
      </c>
      <c r="AM47" s="4">
        <f t="shared" si="11"/>
        <v>64000</v>
      </c>
    </row>
    <row r="48" spans="2:41" hidden="1" x14ac:dyDescent="0.4">
      <c r="B48" s="1" t="s">
        <v>56</v>
      </c>
      <c r="C48" s="1" t="s">
        <v>57</v>
      </c>
      <c r="D48" s="1" t="s">
        <v>58</v>
      </c>
      <c r="E48" s="1" t="s">
        <v>59</v>
      </c>
      <c r="F48" s="1" t="s">
        <v>60</v>
      </c>
      <c r="AJ48" s="1">
        <f t="shared" si="12"/>
        <v>17.5</v>
      </c>
      <c r="AK48" s="4">
        <f t="shared" si="22"/>
        <v>4000</v>
      </c>
      <c r="AL48" s="4">
        <f t="shared" si="9"/>
        <v>70000</v>
      </c>
      <c r="AM48" s="4">
        <f t="shared" si="11"/>
        <v>66000</v>
      </c>
    </row>
    <row r="49" spans="2:39" hidden="1" x14ac:dyDescent="0.4">
      <c r="B49" s="1" t="s">
        <v>53</v>
      </c>
      <c r="C49" s="14" t="s">
        <v>49</v>
      </c>
      <c r="D49" s="13">
        <v>3460000</v>
      </c>
      <c r="E49" s="13">
        <v>1380000</v>
      </c>
      <c r="F49" s="1" t="s">
        <v>50</v>
      </c>
      <c r="AJ49" s="1">
        <f t="shared" si="12"/>
        <v>18</v>
      </c>
      <c r="AK49" s="4">
        <f t="shared" si="22"/>
        <v>4000</v>
      </c>
      <c r="AL49" s="4">
        <f t="shared" si="9"/>
        <v>72000</v>
      </c>
      <c r="AM49" s="4">
        <f t="shared" si="11"/>
        <v>68000</v>
      </c>
    </row>
    <row r="50" spans="2:39" hidden="1" x14ac:dyDescent="0.4">
      <c r="B50" s="1" t="s">
        <v>54</v>
      </c>
      <c r="C50" s="14" t="s">
        <v>51</v>
      </c>
      <c r="D50" s="13">
        <v>3340000</v>
      </c>
      <c r="E50" s="13">
        <v>1230000</v>
      </c>
      <c r="F50" s="1" t="s">
        <v>52</v>
      </c>
      <c r="G50" s="13">
        <f>E49-E50</f>
        <v>150000</v>
      </c>
      <c r="AJ50" s="1">
        <f t="shared" si="12"/>
        <v>18.5</v>
      </c>
      <c r="AK50" s="4">
        <f t="shared" si="22"/>
        <v>4000</v>
      </c>
      <c r="AL50" s="4">
        <f t="shared" si="9"/>
        <v>74000</v>
      </c>
      <c r="AM50" s="4">
        <f t="shared" si="11"/>
        <v>70000</v>
      </c>
    </row>
    <row r="51" spans="2:39" hidden="1" x14ac:dyDescent="0.4">
      <c r="B51" s="1" t="s">
        <v>55</v>
      </c>
      <c r="C51" s="14" t="s">
        <v>51</v>
      </c>
      <c r="D51" s="13">
        <v>3340000</v>
      </c>
      <c r="E51" s="13">
        <v>800000</v>
      </c>
      <c r="F51" s="1" t="s">
        <v>52</v>
      </c>
      <c r="AJ51" s="1">
        <f t="shared" si="12"/>
        <v>19</v>
      </c>
      <c r="AK51" s="4">
        <f t="shared" si="22"/>
        <v>4000</v>
      </c>
      <c r="AL51" s="4">
        <f t="shared" si="9"/>
        <v>76000</v>
      </c>
      <c r="AM51" s="4">
        <f t="shared" si="11"/>
        <v>72000</v>
      </c>
    </row>
    <row r="52" spans="2:39" hidden="1" x14ac:dyDescent="0.4">
      <c r="B52" s="1" t="s">
        <v>75</v>
      </c>
      <c r="C52" s="14" t="s">
        <v>49</v>
      </c>
      <c r="D52" s="13">
        <v>3460000</v>
      </c>
      <c r="E52" s="13">
        <v>950000</v>
      </c>
      <c r="F52" s="1" t="s">
        <v>50</v>
      </c>
      <c r="AJ52" s="1">
        <f t="shared" si="12"/>
        <v>19.5</v>
      </c>
      <c r="AK52" s="4">
        <f t="shared" si="22"/>
        <v>4000</v>
      </c>
      <c r="AL52" s="4">
        <f t="shared" si="9"/>
        <v>78000</v>
      </c>
      <c r="AM52" s="4">
        <f t="shared" si="11"/>
        <v>74000</v>
      </c>
    </row>
    <row r="53" spans="2:39" hidden="1" x14ac:dyDescent="0.4">
      <c r="B53" s="1" t="s">
        <v>74</v>
      </c>
      <c r="C53" s="4">
        <f>C3/VLOOKUP(C5,$B$36:$G$46,6,FALSE)</f>
        <v>33.571428571428577</v>
      </c>
      <c r="AJ53" s="1">
        <f t="shared" si="12"/>
        <v>20</v>
      </c>
      <c r="AK53" s="4">
        <f t="shared" si="22"/>
        <v>4000</v>
      </c>
      <c r="AL53" s="4">
        <f t="shared" si="9"/>
        <v>80000</v>
      </c>
      <c r="AM53" s="4">
        <f t="shared" si="11"/>
        <v>76000</v>
      </c>
    </row>
    <row r="54" spans="2:39" hidden="1" x14ac:dyDescent="0.4">
      <c r="B54" s="1" t="s">
        <v>69</v>
      </c>
      <c r="C54" s="4">
        <f>C53*(100%)</f>
        <v>33.571428571428577</v>
      </c>
      <c r="E54" s="13"/>
      <c r="AJ54" s="1">
        <f>AJ53+0.5</f>
        <v>20.5</v>
      </c>
      <c r="AK54" s="4">
        <f t="shared" si="22"/>
        <v>4000</v>
      </c>
      <c r="AL54" s="4">
        <f t="shared" si="9"/>
        <v>82000</v>
      </c>
      <c r="AM54" s="4">
        <f t="shared" si="11"/>
        <v>78000</v>
      </c>
    </row>
    <row r="55" spans="2:39" hidden="1" x14ac:dyDescent="0.4">
      <c r="B55" s="1" t="s">
        <v>68</v>
      </c>
      <c r="C55" s="4">
        <f>C53*(1-N37)</f>
        <v>32.452380952380956</v>
      </c>
      <c r="AJ55" s="1">
        <f t="shared" si="12"/>
        <v>21</v>
      </c>
      <c r="AK55" s="4">
        <f t="shared" si="22"/>
        <v>4000</v>
      </c>
      <c r="AL55" s="4">
        <f t="shared" si="9"/>
        <v>84000</v>
      </c>
      <c r="AM55" s="4">
        <f t="shared" si="11"/>
        <v>80000</v>
      </c>
    </row>
    <row r="56" spans="2:39" hidden="1" x14ac:dyDescent="0.4">
      <c r="AJ56" s="1">
        <f>AJ55+0.5</f>
        <v>21.5</v>
      </c>
      <c r="AK56" s="4">
        <f t="shared" si="22"/>
        <v>4000</v>
      </c>
      <c r="AL56" s="4">
        <f t="shared" si="9"/>
        <v>86000</v>
      </c>
      <c r="AM56" s="4">
        <f t="shared" si="11"/>
        <v>82000</v>
      </c>
    </row>
    <row r="57" spans="2:39" hidden="1" x14ac:dyDescent="0.4">
      <c r="AJ57" s="1">
        <f t="shared" si="12"/>
        <v>22</v>
      </c>
      <c r="AK57" s="4">
        <f t="shared" si="22"/>
        <v>4000</v>
      </c>
      <c r="AL57" s="4">
        <f t="shared" si="9"/>
        <v>88000</v>
      </c>
      <c r="AM57" s="4">
        <f t="shared" si="11"/>
        <v>84000</v>
      </c>
    </row>
    <row r="58" spans="2:39" hidden="1" x14ac:dyDescent="0.4">
      <c r="AJ58" s="1">
        <f t="shared" si="12"/>
        <v>22.5</v>
      </c>
      <c r="AK58" s="4">
        <f t="shared" si="22"/>
        <v>4000</v>
      </c>
      <c r="AL58" s="4">
        <f t="shared" si="9"/>
        <v>90000</v>
      </c>
      <c r="AM58" s="4">
        <f t="shared" si="11"/>
        <v>86000</v>
      </c>
    </row>
    <row r="59" spans="2:39" hidden="1" x14ac:dyDescent="0.4">
      <c r="AJ59" s="1">
        <f t="shared" si="12"/>
        <v>23</v>
      </c>
      <c r="AK59" s="4">
        <f t="shared" si="22"/>
        <v>4000</v>
      </c>
      <c r="AL59" s="4">
        <f t="shared" si="9"/>
        <v>92000</v>
      </c>
      <c r="AM59" s="4">
        <f t="shared" si="11"/>
        <v>88000</v>
      </c>
    </row>
    <row r="60" spans="2:39" hidden="1" x14ac:dyDescent="0.4">
      <c r="AJ60" s="1">
        <f t="shared" si="12"/>
        <v>23.5</v>
      </c>
      <c r="AK60" s="4">
        <f t="shared" si="22"/>
        <v>4000</v>
      </c>
      <c r="AL60" s="4">
        <f t="shared" si="9"/>
        <v>94000</v>
      </c>
      <c r="AM60" s="4">
        <f t="shared" si="11"/>
        <v>90000</v>
      </c>
    </row>
    <row r="61" spans="2:39" hidden="1" x14ac:dyDescent="0.4">
      <c r="AJ61" s="1">
        <f t="shared" si="12"/>
        <v>24</v>
      </c>
      <c r="AK61" s="4">
        <f t="shared" si="22"/>
        <v>4000</v>
      </c>
      <c r="AL61" s="4">
        <f t="shared" si="9"/>
        <v>96000</v>
      </c>
      <c r="AM61" s="4">
        <f t="shared" si="11"/>
        <v>92000</v>
      </c>
    </row>
    <row r="62" spans="2:39" hidden="1" x14ac:dyDescent="0.4">
      <c r="AJ62" s="1">
        <f t="shared" si="12"/>
        <v>24.5</v>
      </c>
      <c r="AK62" s="4">
        <f t="shared" si="22"/>
        <v>4000</v>
      </c>
      <c r="AL62" s="4">
        <f t="shared" si="9"/>
        <v>98000</v>
      </c>
      <c r="AM62" s="4">
        <f t="shared" si="11"/>
        <v>94000</v>
      </c>
    </row>
    <row r="63" spans="2:39" hidden="1" x14ac:dyDescent="0.4">
      <c r="AJ63" s="1">
        <f t="shared" si="12"/>
        <v>25</v>
      </c>
      <c r="AK63" s="4">
        <f t="shared" si="22"/>
        <v>4000</v>
      </c>
      <c r="AL63" s="4">
        <f t="shared" si="9"/>
        <v>100000</v>
      </c>
      <c r="AM63" s="4">
        <f t="shared" si="11"/>
        <v>96000</v>
      </c>
    </row>
    <row r="64" spans="2:39" hidden="1" x14ac:dyDescent="0.4">
      <c r="AJ64" s="1">
        <f t="shared" si="12"/>
        <v>25.5</v>
      </c>
      <c r="AK64" s="4">
        <f t="shared" si="22"/>
        <v>4000</v>
      </c>
      <c r="AL64" s="4">
        <f t="shared" si="9"/>
        <v>102000</v>
      </c>
      <c r="AM64" s="4">
        <f t="shared" si="11"/>
        <v>98000</v>
      </c>
    </row>
    <row r="65" spans="36:39" hidden="1" x14ac:dyDescent="0.4">
      <c r="AJ65" s="1">
        <f t="shared" si="12"/>
        <v>26</v>
      </c>
      <c r="AK65" s="4">
        <f t="shared" si="22"/>
        <v>4000</v>
      </c>
      <c r="AL65" s="4">
        <f t="shared" si="9"/>
        <v>104000</v>
      </c>
      <c r="AM65" s="4">
        <f t="shared" si="11"/>
        <v>100000</v>
      </c>
    </row>
    <row r="66" spans="36:39" hidden="1" x14ac:dyDescent="0.4">
      <c r="AJ66" s="1">
        <f t="shared" si="12"/>
        <v>26.5</v>
      </c>
      <c r="AK66" s="4">
        <f t="shared" si="22"/>
        <v>4000</v>
      </c>
      <c r="AL66" s="4">
        <f t="shared" si="9"/>
        <v>106000</v>
      </c>
      <c r="AM66" s="4">
        <f t="shared" si="11"/>
        <v>102000</v>
      </c>
    </row>
    <row r="67" spans="36:39" hidden="1" x14ac:dyDescent="0.4">
      <c r="AJ67" s="1">
        <f t="shared" si="12"/>
        <v>27</v>
      </c>
      <c r="AK67" s="4">
        <f t="shared" si="22"/>
        <v>4000</v>
      </c>
      <c r="AL67" s="4">
        <f t="shared" si="9"/>
        <v>108000</v>
      </c>
      <c r="AM67" s="4">
        <f t="shared" si="11"/>
        <v>104000</v>
      </c>
    </row>
    <row r="68" spans="36:39" hidden="1" x14ac:dyDescent="0.4">
      <c r="AJ68" s="1">
        <f t="shared" si="12"/>
        <v>27.5</v>
      </c>
      <c r="AK68" s="4">
        <f t="shared" si="22"/>
        <v>4000</v>
      </c>
      <c r="AL68" s="4">
        <f t="shared" si="9"/>
        <v>110000</v>
      </c>
      <c r="AM68" s="4">
        <f t="shared" si="11"/>
        <v>106000</v>
      </c>
    </row>
    <row r="69" spans="36:39" x14ac:dyDescent="0.4">
      <c r="AJ69" s="1">
        <f t="shared" si="12"/>
        <v>28</v>
      </c>
      <c r="AK69" s="4">
        <f t="shared" si="22"/>
        <v>4000</v>
      </c>
      <c r="AL69" s="4">
        <f t="shared" si="9"/>
        <v>112000</v>
      </c>
      <c r="AM69" s="4">
        <f t="shared" si="11"/>
        <v>108000</v>
      </c>
    </row>
    <row r="70" spans="36:39" x14ac:dyDescent="0.4">
      <c r="AJ70" s="1">
        <f t="shared" si="12"/>
        <v>28.5</v>
      </c>
      <c r="AK70" s="4">
        <f t="shared" si="22"/>
        <v>4000</v>
      </c>
      <c r="AL70" s="4">
        <f t="shared" si="9"/>
        <v>114000</v>
      </c>
      <c r="AM70" s="4">
        <f t="shared" si="11"/>
        <v>110000</v>
      </c>
    </row>
    <row r="71" spans="36:39" x14ac:dyDescent="0.4">
      <c r="AJ71" s="1">
        <f t="shared" si="12"/>
        <v>29</v>
      </c>
      <c r="AK71" s="4">
        <f t="shared" si="22"/>
        <v>4000</v>
      </c>
      <c r="AL71" s="4">
        <f t="shared" si="9"/>
        <v>116000</v>
      </c>
      <c r="AM71" s="4">
        <f t="shared" si="11"/>
        <v>112000</v>
      </c>
    </row>
    <row r="72" spans="36:39" x14ac:dyDescent="0.4">
      <c r="AJ72" s="1">
        <f t="shared" si="12"/>
        <v>29.5</v>
      </c>
      <c r="AK72" s="4">
        <f t="shared" si="22"/>
        <v>4000</v>
      </c>
      <c r="AL72" s="4">
        <f t="shared" si="9"/>
        <v>118000</v>
      </c>
      <c r="AM72" s="4">
        <f t="shared" si="11"/>
        <v>114000</v>
      </c>
    </row>
    <row r="73" spans="36:39" x14ac:dyDescent="0.4">
      <c r="AJ73" s="1">
        <f t="shared" si="12"/>
        <v>30</v>
      </c>
      <c r="AK73" s="4">
        <f t="shared" si="22"/>
        <v>4000</v>
      </c>
      <c r="AL73" s="4">
        <f t="shared" si="9"/>
        <v>120000</v>
      </c>
      <c r="AM73" s="4">
        <f t="shared" si="11"/>
        <v>116000</v>
      </c>
    </row>
  </sheetData>
  <protectedRanges>
    <protectedRange algorithmName="SHA-512" hashValue="wWpC8CcJf06YvMAUrWtDNv59R9y21WecUxN1NqVi5SFHVeFk0RHZda57Rymhlk6/6PoFORhtjqlK6dMY+B7Vjw==" saltValue="cLjzG2T23v9GwpNogqTEOA==" spinCount="100000" sqref="C3:C10" name="Range1" securityDescriptor="O:WDG:WDD:(A;;CC;;;WD)"/>
  </protectedRanges>
  <mergeCells count="1">
    <mergeCell ref="C2:H2"/>
  </mergeCells>
  <dataValidations count="5">
    <dataValidation type="list" allowBlank="1" showInputMessage="1" showErrorMessage="1" sqref="C4" xr:uid="{1B6523EA-A3DB-44C2-B13F-3ACF6BB10728}">
      <formula1>$B$49:$B$52</formula1>
    </dataValidation>
    <dataValidation type="list" allowBlank="1" showInputMessage="1" showErrorMessage="1" sqref="C7" xr:uid="{7D49E536-22DB-428B-AFA2-AC30635A60B9}">
      <formula1>$AJ$15:$AJ$73</formula1>
    </dataValidation>
    <dataValidation type="list" allowBlank="1" showInputMessage="1" showErrorMessage="1" sqref="C9" xr:uid="{875A13B4-21DE-4422-B7D3-74242FB5F42D}">
      <formula1>$AL$4:$AL$11</formula1>
    </dataValidation>
    <dataValidation type="list" allowBlank="1" showInputMessage="1" showErrorMessage="1" sqref="C8" xr:uid="{8E30060E-0EC7-4BB2-9B4B-90ECBFD75A9D}">
      <formula1>$AH$4:$AH$5</formula1>
    </dataValidation>
    <dataValidation type="list" allowBlank="1" showInputMessage="1" showErrorMessage="1" sqref="C5" xr:uid="{9A86D55E-700A-4F1E-9356-0D01B63D99A5}">
      <formula1>$AJ$4:$AJ$14</formula1>
    </dataValidation>
  </dataValidations>
  <pageMargins left="0.7" right="0.7" top="0.75" bottom="0.75" header="0.3" footer="0.3"/>
  <pageSetup scale="65" orientation="portrait" r:id="rId1"/>
  <headerFooter>
    <oddFooter>&amp;L_x000D_&amp;1#&amp;"Calibri"&amp;10&amp;K000000 Classification: Confidential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FAA7BF-9CCC-4FEC-9729-A0F04AC9FF68}">
  <dimension ref="B1:G32"/>
  <sheetViews>
    <sheetView showGridLines="0" view="pageBreakPreview" topLeftCell="C1" zoomScale="87" zoomScaleNormal="100" zoomScaleSheetLayoutView="87" workbookViewId="0">
      <selection activeCell="H16" sqref="H16"/>
    </sheetView>
  </sheetViews>
  <sheetFormatPr defaultRowHeight="14.5" x14ac:dyDescent="0.35"/>
  <cols>
    <col min="2" max="2" width="101.08984375" bestFit="1" customWidth="1"/>
    <col min="3" max="3" width="24.1796875" bestFit="1" customWidth="1"/>
    <col min="4" max="4" width="11.26953125" bestFit="1" customWidth="1"/>
    <col min="5" max="5" width="59.36328125" bestFit="1" customWidth="1"/>
    <col min="6" max="6" width="24.1796875" bestFit="1" customWidth="1"/>
    <col min="7" max="7" width="11.26953125" bestFit="1" customWidth="1"/>
    <col min="8" max="8" width="11" bestFit="1" customWidth="1"/>
  </cols>
  <sheetData>
    <row r="1" spans="2:7" ht="15" thickBot="1" x14ac:dyDescent="0.4"/>
    <row r="2" spans="2:7" x14ac:dyDescent="0.35">
      <c r="B2" s="58" t="s">
        <v>93</v>
      </c>
      <c r="C2" s="58" t="s">
        <v>91</v>
      </c>
      <c r="D2" s="59" t="s">
        <v>92</v>
      </c>
      <c r="E2" s="60" t="s">
        <v>83</v>
      </c>
      <c r="F2" s="58" t="s">
        <v>87</v>
      </c>
    </row>
    <row r="3" spans="2:7" x14ac:dyDescent="0.35">
      <c r="B3" s="68" t="s">
        <v>94</v>
      </c>
      <c r="C3" s="69">
        <f>F28+F27</f>
        <v>6285.7142857142862</v>
      </c>
      <c r="D3" s="70">
        <f>F25</f>
        <v>0.82142857142857162</v>
      </c>
      <c r="E3" s="45" t="s">
        <v>89</v>
      </c>
      <c r="F3" s="41">
        <f>'Get The Estimated Freight'!C6/35</f>
        <v>1.7142857142857142</v>
      </c>
    </row>
    <row r="4" spans="2:7" x14ac:dyDescent="0.35">
      <c r="B4" s="68" t="s">
        <v>95</v>
      </c>
      <c r="C4" s="69">
        <f>'Get The Estimated Freight'!H3</f>
        <v>9000</v>
      </c>
      <c r="D4" s="71">
        <f>'Get The Estimated Freight'!C7</f>
        <v>1.5</v>
      </c>
      <c r="E4" s="45" t="s">
        <v>88</v>
      </c>
      <c r="F4" s="41">
        <v>6</v>
      </c>
    </row>
    <row r="5" spans="2:7" x14ac:dyDescent="0.35">
      <c r="B5" s="63"/>
      <c r="C5" s="54"/>
      <c r="D5" s="54"/>
      <c r="E5" s="45" t="s">
        <v>90</v>
      </c>
      <c r="F5" s="41">
        <v>4</v>
      </c>
      <c r="G5" s="46"/>
    </row>
    <row r="6" spans="2:7" x14ac:dyDescent="0.35">
      <c r="B6" s="52"/>
      <c r="C6" s="54"/>
      <c r="D6" s="54"/>
      <c r="E6" s="45" t="s">
        <v>96</v>
      </c>
      <c r="F6" s="41">
        <v>8</v>
      </c>
      <c r="G6" s="46"/>
    </row>
    <row r="7" spans="2:7" x14ac:dyDescent="0.35">
      <c r="B7" s="52"/>
      <c r="C7" s="54"/>
      <c r="D7" s="54"/>
      <c r="E7" s="45" t="s">
        <v>86</v>
      </c>
      <c r="F7" s="42">
        <f>SUM(F3:F6)</f>
        <v>19.714285714285715</v>
      </c>
      <c r="G7" s="46"/>
    </row>
    <row r="8" spans="2:7" x14ac:dyDescent="0.35">
      <c r="B8" s="52"/>
      <c r="C8" s="54"/>
      <c r="D8" s="54"/>
      <c r="E8" s="45" t="s">
        <v>86</v>
      </c>
      <c r="F8" s="40">
        <f>F7/24</f>
        <v>0.82142857142857151</v>
      </c>
      <c r="G8" s="46"/>
    </row>
    <row r="9" spans="2:7" x14ac:dyDescent="0.35">
      <c r="B9" s="52"/>
      <c r="C9" s="53"/>
      <c r="D9" s="54"/>
      <c r="E9" s="54"/>
      <c r="F9" s="55"/>
      <c r="G9" s="46"/>
    </row>
    <row r="10" spans="2:7" x14ac:dyDescent="0.35">
      <c r="B10" s="61" t="s">
        <v>83</v>
      </c>
      <c r="C10" s="62" t="s">
        <v>85</v>
      </c>
      <c r="D10" s="62" t="s">
        <v>84</v>
      </c>
      <c r="E10" s="62" t="s">
        <v>97</v>
      </c>
      <c r="F10" s="62" t="s">
        <v>84</v>
      </c>
      <c r="G10" s="46"/>
    </row>
    <row r="11" spans="2:7" x14ac:dyDescent="0.35">
      <c r="B11" s="45" t="s">
        <v>77</v>
      </c>
      <c r="C11" s="38">
        <v>45589.541666666664</v>
      </c>
      <c r="D11" s="39">
        <f>VALUE(C11-C11)</f>
        <v>0</v>
      </c>
      <c r="E11" s="56">
        <f t="shared" ref="E11:E24" si="0">D11/$D$25</f>
        <v>0</v>
      </c>
      <c r="F11" s="47">
        <f t="shared" ref="F11:F24" si="1">$F$8*E11</f>
        <v>0</v>
      </c>
    </row>
    <row r="12" spans="2:7" x14ac:dyDescent="0.35">
      <c r="B12" s="45" t="s">
        <v>128</v>
      </c>
      <c r="C12" s="38">
        <v>45589.708333333336</v>
      </c>
      <c r="D12" s="39">
        <f t="shared" ref="D12:D24" si="2">VALUE(C12-C11)</f>
        <v>0.16666666667151731</v>
      </c>
      <c r="E12" s="56">
        <f t="shared" si="0"/>
        <v>8.0808080810432628E-2</v>
      </c>
      <c r="F12" s="47">
        <f t="shared" si="1"/>
        <v>6.6378066379998241E-2</v>
      </c>
    </row>
    <row r="13" spans="2:7" x14ac:dyDescent="0.35">
      <c r="B13" s="45" t="s">
        <v>78</v>
      </c>
      <c r="C13" s="38">
        <v>45589.958333333336</v>
      </c>
      <c r="D13" s="39">
        <f t="shared" si="2"/>
        <v>0.25</v>
      </c>
      <c r="E13" s="56">
        <f t="shared" si="0"/>
        <v>0.12121212121212122</v>
      </c>
      <c r="F13" s="47">
        <f t="shared" si="1"/>
        <v>9.9567099567099582E-2</v>
      </c>
    </row>
    <row r="14" spans="2:7" x14ac:dyDescent="0.35">
      <c r="B14" s="45" t="s">
        <v>127</v>
      </c>
      <c r="C14" s="38">
        <v>45590.041666666664</v>
      </c>
      <c r="D14" s="39">
        <f t="shared" si="2"/>
        <v>8.3333333328482695E-2</v>
      </c>
      <c r="E14" s="56">
        <f t="shared" si="0"/>
        <v>4.040404040168858E-2</v>
      </c>
      <c r="F14" s="47">
        <f t="shared" si="1"/>
        <v>3.3189033187101334E-2</v>
      </c>
    </row>
    <row r="15" spans="2:7" x14ac:dyDescent="0.35">
      <c r="B15" s="45" t="s">
        <v>129</v>
      </c>
      <c r="C15" s="38">
        <v>45590.083333333336</v>
      </c>
      <c r="D15" s="39">
        <f t="shared" si="2"/>
        <v>4.1666666671517305E-2</v>
      </c>
      <c r="E15" s="56">
        <f t="shared" si="0"/>
        <v>2.0202020204372027E-2</v>
      </c>
      <c r="F15" s="47">
        <f t="shared" si="1"/>
        <v>1.6594516596448453E-2</v>
      </c>
    </row>
    <row r="16" spans="2:7" x14ac:dyDescent="0.35">
      <c r="B16" s="45" t="s">
        <v>130</v>
      </c>
      <c r="C16" s="38">
        <v>45590.090277777781</v>
      </c>
      <c r="D16" s="39">
        <f t="shared" si="2"/>
        <v>6.9444444452528842E-3</v>
      </c>
      <c r="E16" s="56">
        <f t="shared" si="0"/>
        <v>3.3670033673953376E-3</v>
      </c>
      <c r="F16" s="47">
        <f t="shared" si="1"/>
        <v>2.7657527660747421E-3</v>
      </c>
    </row>
    <row r="17" spans="2:6" x14ac:dyDescent="0.35">
      <c r="B17" s="45" t="s">
        <v>79</v>
      </c>
      <c r="C17" s="38">
        <v>45590.458333333336</v>
      </c>
      <c r="D17" s="39">
        <f t="shared" si="2"/>
        <v>0.36805555555474712</v>
      </c>
      <c r="E17" s="56">
        <f t="shared" si="0"/>
        <v>0.17845117845078648</v>
      </c>
      <c r="F17" s="47">
        <f t="shared" si="1"/>
        <v>0.14658489658457463</v>
      </c>
    </row>
    <row r="18" spans="2:6" x14ac:dyDescent="0.35">
      <c r="B18" s="45" t="s">
        <v>81</v>
      </c>
      <c r="C18" s="38">
        <v>45590.479166666664</v>
      </c>
      <c r="D18" s="39">
        <f t="shared" si="2"/>
        <v>2.0833333328482695E-2</v>
      </c>
      <c r="E18" s="56">
        <f t="shared" si="0"/>
        <v>1.0101010098658277E-2</v>
      </c>
      <c r="F18" s="47">
        <f t="shared" si="1"/>
        <v>8.2972582953264422E-3</v>
      </c>
    </row>
    <row r="19" spans="2:6" x14ac:dyDescent="0.35">
      <c r="B19" s="45" t="s">
        <v>82</v>
      </c>
      <c r="C19" s="38">
        <v>45590.5625</v>
      </c>
      <c r="D19" s="39">
        <f t="shared" si="2"/>
        <v>8.3333333335758653E-2</v>
      </c>
      <c r="E19" s="56">
        <f t="shared" si="0"/>
        <v>4.0404040405216314E-2</v>
      </c>
      <c r="F19" s="47">
        <f t="shared" si="1"/>
        <v>3.318903318999912E-2</v>
      </c>
    </row>
    <row r="20" spans="2:6" x14ac:dyDescent="0.35">
      <c r="B20" s="45" t="s">
        <v>80</v>
      </c>
      <c r="C20" s="38">
        <v>45590.583333333336</v>
      </c>
      <c r="D20" s="39">
        <f t="shared" si="2"/>
        <v>2.0833333335758653E-2</v>
      </c>
      <c r="E20" s="56">
        <f t="shared" si="0"/>
        <v>1.0101010102186014E-2</v>
      </c>
      <c r="F20" s="47">
        <f t="shared" si="1"/>
        <v>8.2972582982242266E-3</v>
      </c>
    </row>
    <row r="21" spans="2:6" x14ac:dyDescent="0.35">
      <c r="B21" s="45" t="s">
        <v>132</v>
      </c>
      <c r="C21" s="38">
        <v>45590.958333333336</v>
      </c>
      <c r="D21" s="39">
        <f t="shared" si="2"/>
        <v>0.375</v>
      </c>
      <c r="E21" s="56">
        <f t="shared" si="0"/>
        <v>0.18181818181818182</v>
      </c>
      <c r="F21" s="47">
        <f t="shared" si="1"/>
        <v>0.14935064935064937</v>
      </c>
    </row>
    <row r="22" spans="2:6" x14ac:dyDescent="0.35">
      <c r="B22" s="45" t="s">
        <v>131</v>
      </c>
      <c r="C22" s="38">
        <v>45590.979166666664</v>
      </c>
      <c r="D22" s="39">
        <f t="shared" si="2"/>
        <v>2.0833333328482695E-2</v>
      </c>
      <c r="E22" s="56">
        <f t="shared" si="0"/>
        <v>1.0101010098658277E-2</v>
      </c>
      <c r="F22" s="47">
        <f t="shared" si="1"/>
        <v>8.2972582953264422E-3</v>
      </c>
    </row>
    <row r="23" spans="2:6" x14ac:dyDescent="0.35">
      <c r="B23" s="45" t="s">
        <v>133</v>
      </c>
      <c r="C23" s="38">
        <v>45591.0625</v>
      </c>
      <c r="D23" s="39">
        <f t="shared" si="2"/>
        <v>8.3333333335758653E-2</v>
      </c>
      <c r="E23" s="56">
        <f t="shared" si="0"/>
        <v>4.0404040405216314E-2</v>
      </c>
      <c r="F23" s="47">
        <f t="shared" si="1"/>
        <v>3.318903318999912E-2</v>
      </c>
    </row>
    <row r="24" spans="2:6" x14ac:dyDescent="0.35">
      <c r="B24" s="45" t="s">
        <v>134</v>
      </c>
      <c r="C24" s="38">
        <v>45591.604166666664</v>
      </c>
      <c r="D24" s="39">
        <f t="shared" si="2"/>
        <v>0.54166666666424135</v>
      </c>
      <c r="E24" s="56">
        <f t="shared" si="0"/>
        <v>0.2626262626250867</v>
      </c>
      <c r="F24" s="47">
        <f t="shared" si="1"/>
        <v>0.21572871572774982</v>
      </c>
    </row>
    <row r="25" spans="2:6" x14ac:dyDescent="0.35">
      <c r="B25" s="45"/>
      <c r="C25" s="40">
        <f>C24-C11</f>
        <v>2.0625</v>
      </c>
      <c r="D25" s="43">
        <f>SUM(D11:D24)</f>
        <v>2.0625</v>
      </c>
      <c r="E25" s="57">
        <f>SUM(E11:E24)</f>
        <v>1</v>
      </c>
      <c r="F25" s="48">
        <f>SUM(F11:F24)</f>
        <v>0.82142857142857162</v>
      </c>
    </row>
    <row r="26" spans="2:6" x14ac:dyDescent="0.35">
      <c r="B26" s="46"/>
      <c r="C26" s="67">
        <f>C24-C13</f>
        <v>1.6458333333284827</v>
      </c>
      <c r="D26" s="49"/>
      <c r="F26" s="64">
        <f>'Get The Estimated Freight'!H22/24</f>
        <v>166.66666666666666</v>
      </c>
    </row>
    <row r="27" spans="2:6" x14ac:dyDescent="0.35">
      <c r="B27" s="46"/>
      <c r="F27" s="65">
        <f>F25*24*F26</f>
        <v>3285.7142857142862</v>
      </c>
    </row>
    <row r="28" spans="2:6" ht="15" thickBot="1" x14ac:dyDescent="0.4">
      <c r="B28" s="50"/>
      <c r="C28" s="51"/>
      <c r="D28" s="51"/>
      <c r="E28" s="51"/>
      <c r="F28" s="66">
        <f>'Get The Estimated Freight'!H29</f>
        <v>3000</v>
      </c>
    </row>
    <row r="31" spans="2:6" x14ac:dyDescent="0.35">
      <c r="B31" t="s">
        <v>126</v>
      </c>
    </row>
    <row r="32" spans="2:6" x14ac:dyDescent="0.35">
      <c r="B32" t="s">
        <v>125</v>
      </c>
    </row>
  </sheetData>
  <pageMargins left="0.7" right="0.7" top="0.75" bottom="0.75" header="0.3" footer="0.3"/>
  <pageSetup scale="5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3</vt:i4>
      </vt:variant>
    </vt:vector>
  </HeadingPairs>
  <TitlesOfParts>
    <vt:vector size="6" baseType="lpstr">
      <vt:lpstr>User Manual</vt:lpstr>
      <vt:lpstr>Get The Estimated Freight</vt:lpstr>
      <vt:lpstr>TAT Workings</vt:lpstr>
      <vt:lpstr>'Get The Estimated Freight'!Print_Area</vt:lpstr>
      <vt:lpstr>'TAT Workings'!Print_Area</vt:lpstr>
      <vt:lpstr>'User Manual'!Print_Area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Murugan Maruthachalam</dc:creator>
  <cp:lastModifiedBy>Murugan Maruthachalam</cp:lastModifiedBy>
  <dcterms:created xsi:type="dcterms:W3CDTF">2024-10-18T10:24:16Z</dcterms:created>
  <dcterms:modified xsi:type="dcterms:W3CDTF">2025-02-07T04:23:54Z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b814e8bd-8835-4321-b7cc-2751ed18cf11_Enabled">
    <vt:lpwstr>true</vt:lpwstr>
  </property>
  <property fmtid="{D5CDD505-2E9C-101B-9397-08002B2CF9AE}" pid="3" name="MSIP_Label_b814e8bd-8835-4321-b7cc-2751ed18cf11_SetDate">
    <vt:lpwstr>2024-10-18T15:21:44Z</vt:lpwstr>
  </property>
  <property fmtid="{D5CDD505-2E9C-101B-9397-08002B2CF9AE}" pid="4" name="MSIP_Label_b814e8bd-8835-4321-b7cc-2751ed18cf11_Method">
    <vt:lpwstr>Privileged</vt:lpwstr>
  </property>
  <property fmtid="{D5CDD505-2E9C-101B-9397-08002B2CF9AE}" pid="5" name="MSIP_Label_b814e8bd-8835-4321-b7cc-2751ed18cf11_Name">
    <vt:lpwstr>Confidential</vt:lpwstr>
  </property>
  <property fmtid="{D5CDD505-2E9C-101B-9397-08002B2CF9AE}" pid="6" name="MSIP_Label_b814e8bd-8835-4321-b7cc-2751ed18cf11_SiteId">
    <vt:lpwstr>05d75c05-fa1a-42e7-9cf1-eb416c396f2d</vt:lpwstr>
  </property>
  <property fmtid="{D5CDD505-2E9C-101B-9397-08002B2CF9AE}" pid="7" name="MSIP_Label_b814e8bd-8835-4321-b7cc-2751ed18cf11_ActionId">
    <vt:lpwstr>923f0382-ba50-4379-9f0c-1f36a2b5f281</vt:lpwstr>
  </property>
  <property fmtid="{D5CDD505-2E9C-101B-9397-08002B2CF9AE}" pid="8" name="MSIP_Label_b814e8bd-8835-4321-b7cc-2751ed18cf11_ContentBits">
    <vt:lpwstr>2</vt:lpwstr>
  </property>
</Properties>
</file>